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0Ubk0bJzbkOkK/u/yGuLUYddjDkFi8evfoY9xdiEimKGshX9JeDy2RU7O/psmY7+xeUSf/JYxV/aNDUfu9vAhQ==" workbookSaltValue="23JwRGmER1KixhZNctIfQ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T14" i="16"/>
  <c r="T14" i="20"/>
  <c r="BF25" i="8"/>
  <c r="AY14" i="8"/>
  <c r="BD9" i="8"/>
  <c r="BF9" i="8"/>
  <c r="C30" i="7"/>
  <c r="AO14" i="21"/>
  <c r="AP14" i="16"/>
  <c r="T23" i="17"/>
  <c r="T26" i="17" s="1"/>
  <c r="T30" i="17" s="1"/>
  <c r="BG16" i="13"/>
  <c r="BE17" i="13"/>
  <c r="BE16" i="13"/>
  <c r="X32" i="20"/>
  <c r="G30" i="14"/>
  <c r="G23" i="14"/>
  <c r="BF17" i="8" l="1"/>
  <c r="AK31" i="8"/>
  <c r="BD12" i="8"/>
  <c r="B16" i="6"/>
  <c r="H21" i="2"/>
  <c r="R8" i="9"/>
  <c r="V16" i="11" s="1"/>
  <c r="Z14" i="17"/>
  <c r="AP17" i="20"/>
  <c r="BG25" i="11"/>
  <c r="BF18" i="11"/>
  <c r="AZ19" i="11"/>
  <c r="BI25" i="11"/>
  <c r="BI19" i="11"/>
  <c r="AZ13" i="11"/>
  <c r="AZ9" i="11"/>
  <c r="AZ14" i="11" s="1"/>
  <c r="BJ28" i="11"/>
  <c r="BU11" i="17"/>
  <c r="BU21" i="17"/>
  <c r="BW25" i="20"/>
  <c r="BU22" i="17"/>
  <c r="X21" i="16"/>
  <c r="BU9" i="17"/>
  <c r="BU19" i="17"/>
  <c r="BW10" i="20"/>
  <c r="BV22" i="16"/>
  <c r="BU12" i="17"/>
  <c r="AA29" i="16"/>
  <c r="AA18" i="16"/>
  <c r="AZ12" i="11"/>
  <c r="AZ11" i="11"/>
  <c r="Q18" i="17"/>
  <c r="BH10" i="11"/>
  <c r="AQ10" i="21"/>
  <c r="AO29" i="17"/>
  <c r="S10" i="17"/>
  <c r="BI29" i="11"/>
  <c r="BG17" i="11"/>
  <c r="BM21" i="11"/>
  <c r="AO25" i="17"/>
  <c r="BH12" i="16"/>
  <c r="BJ17" i="11"/>
  <c r="BK22" i="11"/>
  <c r="BL17" i="11"/>
  <c r="BH22" i="11"/>
  <c r="L10" i="2"/>
  <c r="L28" i="2"/>
  <c r="X21" i="20"/>
  <c r="S16" i="17"/>
  <c r="S17" i="17"/>
  <c r="L12" i="2"/>
  <c r="L25" i="2"/>
  <c r="L13" i="2"/>
  <c r="X10" i="21"/>
  <c r="L19" i="2"/>
  <c r="U9" i="17"/>
  <c r="U31" i="17" s="1"/>
  <c r="L9" i="2"/>
  <c r="V25" i="16"/>
  <c r="X13" i="16"/>
  <c r="BF13" i="11"/>
  <c r="BH16" i="16"/>
  <c r="BF28" i="11"/>
  <c r="BH9" i="16"/>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M9" i="11" l="1"/>
  <c r="Q9" i="11" s="1"/>
  <c r="S18" i="17"/>
  <c r="BH11" i="11"/>
  <c r="BH10" i="16"/>
  <c r="BL10" i="11"/>
  <c r="BL28" i="11"/>
  <c r="BI9" i="11"/>
  <c r="BI20" i="11"/>
  <c r="BG12" i="11"/>
  <c r="S11" i="14"/>
  <c r="V11" i="14" s="1"/>
  <c r="AZ20" i="11"/>
  <c r="S25" i="17"/>
  <c r="BV9" i="16"/>
  <c r="BW21" i="20"/>
  <c r="BU13" i="17"/>
  <c r="BW28" i="20"/>
  <c r="S21" i="17"/>
  <c r="BW11" i="20"/>
  <c r="BV16" i="16"/>
  <c r="BW12" i="20"/>
  <c r="BV17" i="16"/>
  <c r="BW9" i="20"/>
  <c r="BU28" i="17"/>
  <c r="BM20" i="11"/>
  <c r="BL25" i="11"/>
  <c r="AP22" i="20"/>
  <c r="V13" i="11"/>
  <c r="BK21" i="11"/>
  <c r="BG22" i="11"/>
  <c r="Q18" i="20"/>
  <c r="Q23" i="20" s="1"/>
  <c r="P25" i="11"/>
  <c r="BV28" i="16"/>
  <c r="R28" i="14"/>
  <c r="BK20" i="11"/>
  <c r="BI22" i="11"/>
  <c r="X19" i="16"/>
  <c r="BK29" i="11"/>
  <c r="V11" i="11"/>
  <c r="V9" i="11"/>
  <c r="AP16" i="20"/>
  <c r="BG19" i="11"/>
  <c r="AP18" i="20"/>
  <c r="BU25" i="17"/>
  <c r="BV13" i="16"/>
  <c r="BV21" i="16"/>
  <c r="BU29" i="17"/>
  <c r="BV11" i="16"/>
  <c r="BU20" i="17"/>
  <c r="BW29" i="20"/>
  <c r="BW22" i="20"/>
  <c r="BV29" i="16"/>
  <c r="BU17" i="17"/>
  <c r="AA20" i="16"/>
  <c r="AZ17" i="11"/>
  <c r="BF20" i="11"/>
  <c r="S16" i="16"/>
  <c r="BL20" i="11"/>
  <c r="BL16" i="11"/>
  <c r="BH21" i="11"/>
  <c r="AZ25" i="11"/>
  <c r="AZ30" i="11" s="1"/>
  <c r="BK17" i="11"/>
  <c r="BM18" i="11"/>
  <c r="BH17" i="11"/>
  <c r="AQ12" i="21"/>
  <c r="BH25" i="11"/>
  <c r="BI21" i="11"/>
  <c r="L29" i="2"/>
  <c r="L17" i="2"/>
  <c r="L18" i="2"/>
  <c r="L20" i="2"/>
  <c r="L21" i="2"/>
  <c r="AA9" i="16"/>
  <c r="BG20" i="11"/>
  <c r="BM12" i="11"/>
  <c r="BJ16" i="11"/>
  <c r="BJ23" i="11" s="1"/>
  <c r="V20" i="11"/>
  <c r="AP26" i="21"/>
  <c r="BG21" i="11"/>
  <c r="BW13" i="20"/>
  <c r="BW17" i="20"/>
  <c r="BV25" i="16"/>
  <c r="BW16" i="20"/>
  <c r="U10" i="17"/>
  <c r="BV10" i="16"/>
  <c r="BU18" i="17"/>
  <c r="S11" i="17"/>
  <c r="BV20" i="16"/>
  <c r="AZ22" i="11"/>
  <c r="X16" i="17"/>
  <c r="T17" i="11"/>
  <c r="P16" i="17"/>
  <c r="P23" i="17" s="1"/>
  <c r="P31" i="17" s="1"/>
  <c r="BF12" i="11"/>
  <c r="BH25" i="16"/>
  <c r="BJ10" i="11"/>
  <c r="Q16" i="17"/>
  <c r="Q23" i="17" s="1"/>
  <c r="BF16" i="11"/>
  <c r="BL22" i="11"/>
  <c r="BK10" i="11"/>
  <c r="BK14" i="11" s="1"/>
  <c r="L22" i="2"/>
  <c r="L16" i="2"/>
  <c r="AA11" i="16"/>
  <c r="V9"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Q12" i="11" l="1"/>
  <c r="Q31" i="17"/>
  <c r="AZ26"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O32" i="16"/>
  <c r="X32" i="17"/>
  <c r="U32" i="11"/>
  <c r="AH32" i="17"/>
  <c r="AK32" i="21"/>
  <c r="U32" i="17"/>
  <c r="Q32" i="17"/>
  <c r="V32" i="21"/>
  <c r="E32" i="12"/>
  <c r="AD32" i="21"/>
  <c r="Y32" i="21"/>
  <c r="P32" i="21"/>
  <c r="Z32" i="11"/>
  <c r="AS32" i="17"/>
  <c r="AU32" i="16"/>
  <c r="AM32" i="21"/>
  <c r="AU32" i="11"/>
  <c r="AS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AA32" i="17"/>
  <c r="H32" i="12"/>
  <c r="BE32" i="16"/>
  <c r="AT32" i="16"/>
  <c r="AI32" i="21"/>
  <c r="AE32" i="11"/>
  <c r="BM32" i="16"/>
  <c r="I32" i="21"/>
  <c r="AB32" i="17"/>
  <c r="BS32" i="16"/>
  <c r="F32" i="21"/>
  <c r="AR32" i="21"/>
  <c r="Y32" i="17"/>
  <c r="M32" i="17"/>
  <c r="AL32" i="17"/>
  <c r="AK32" i="11"/>
  <c r="H32" i="16"/>
  <c r="L32" i="16"/>
  <c r="BQ32" i="16"/>
  <c r="G32" i="12"/>
  <c r="AN32" i="11"/>
  <c r="N32" i="11"/>
  <c r="E32" i="17"/>
  <c r="AM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<sst xmlns="http://schemas.openxmlformats.org/spreadsheetml/2006/main" count="2682" uniqueCount="1193">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</sst>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t4xyA44o7C+RObRMTy+ioAwUgpV8BPlKyczRTq5qPatc+5kg7OtlpBI7Dj7+KJTvilkg9lNEPjKI0YE4ecOHA==" saltValue="r0T2ZX8/gg0hK9GZURPa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5.5260663507109005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305</v>
      </c>
      <c r="D17" s="239">
        <f>IF(ISNUMBER(IF(D_I="SI",Datos!I17,Datos!I17+Datos!AC17)),IF(D_I="SI",Datos!I17,Datos!I17+Datos!AC17)," - ")</f>
        <v>305</v>
      </c>
      <c r="E17" s="240">
        <f>IF(ISNUMBER(IF(D_I="SI",Datos!J17,Datos!J17+Datos!AD17)),IF(D_I="SI",Datos!J17,Datos!J17+Datos!AD17)," - ")</f>
        <v>596</v>
      </c>
      <c r="F17" s="240">
        <f>IF(ISNUMBER(IF(D_I="SI",Datos!K17,Datos!K17+Datos!AE17)),IF(D_I="SI",Datos!K17,Datos!K17+Datos!AE17)," - ")</f>
        <v>581</v>
      </c>
      <c r="G17" s="1390" t="str">
        <f>IF(Datos!E17&lt;&gt;"",Datos!E17,Datos!D17)</f>
        <v>04</v>
      </c>
      <c r="H17" s="241">
        <f>IF(ISNUMBER(IF(D_I="SI",Datos!L17,Datos!L17+Datos!AF17)),IF(D_I="SI",Datos!L17,Datos!L17+Datos!AF17)," - ")</f>
        <v>320</v>
      </c>
      <c r="I17" s="1400" t="str">
        <f>IF(ISNUMBER(Datos!AS17/Datos!BM17),Datos!AS17/Datos!BM17," - ")</f>
        <v xml:space="preserve"> - </v>
      </c>
      <c r="J17" s="1401">
        <f>IF(ISNUMBER(Datos!BY17/Datos!CN17),Datos!BY17/Datos!CN17," - ")</f>
        <v>0</v>
      </c>
      <c r="K17" s="244">
        <f t="shared" si="3"/>
        <v>4.9180327868852458E-2</v>
      </c>
      <c r="L17" s="1402">
        <f>IF(ISNUMBER(NºAsuntos!I17/NºAsuntos!G17),(NºAsuntos!I17/NºAsuntos!G17)*11," - ")</f>
        <v>6.0585197934595518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16</v>
      </c>
      <c r="F18" s="240">
        <f>IF(ISNUMBER(IF(D_I="SI",Datos!K18,Datos!K18+Datos!AE18)),IF(D_I="SI",Datos!K18,Datos!K18+Datos!AE18)," - ")</f>
        <v>16</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4.8125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312</v>
      </c>
      <c r="D23" s="1407">
        <f>SUBTOTAL(9,D16:D22)</f>
        <v>312</v>
      </c>
      <c r="E23" s="1408">
        <f>SUBTOTAL(9,E16:E22)</f>
        <v>612</v>
      </c>
      <c r="F23" s="1408">
        <f>SUBTOTAL(9,F16:F22)</f>
        <v>597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318</v>
      </c>
      <c r="D31" s="1435">
        <f>SUBTOTAL(9,D9:D30)</f>
        <v>318</v>
      </c>
      <c r="E31" s="1436">
        <f>SUBTOTAL(9,E9:E30)</f>
        <v>614</v>
      </c>
      <c r="F31" s="1436">
        <f>SUBTOTAL(9,F9:F30)</f>
        <v>599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qMiYkjmihcU2Ar4AqAavh/49Cq3ROYz2/80yxTYmC6BYSwuRMc38rsQqvWV5sqp99aL4cuJXJBO+FiHxDWAhg==" saltValue="XEQ1YPkJiIytqR/Sb37VI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QGlh9wgwwiTwgRtoTvcAVM3uFEtz8wY/+kudgNPYfDGxreFkQssNQog3c5ad3U5zyK/qobMr96R2o+E3oU9Ug==" saltValue="Uj7s/DZPSr56J1YSiGbB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2</v>
      </c>
      <c r="L10" s="194">
        <v>6</v>
      </c>
      <c r="M10" s="194">
        <v>0</v>
      </c>
      <c r="N10" s="194">
        <v>0</v>
      </c>
      <c r="O10" s="194">
        <v>0</v>
      </c>
      <c r="P10" s="194">
        <v>0</v>
      </c>
      <c r="Q10" s="194">
        <v>0</v>
      </c>
      <c r="R10" s="194">
        <v>0</v>
      </c>
      <c r="S10" s="194">
        <v>4</v>
      </c>
      <c r="T10" s="194">
        <v>5</v>
      </c>
      <c r="U10" s="194">
        <v>3</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5</v>
      </c>
      <c r="BA10" s="139">
        <f t="shared" si="0"/>
        <v>3</v>
      </c>
      <c r="BB10" s="139">
        <f t="shared" si="0"/>
        <v>6</v>
      </c>
      <c r="BC10" s="135">
        <f t="shared" si="0"/>
        <v>0</v>
      </c>
      <c r="BD10" s="136">
        <f>IF(ISNUMBER(BA10/AZ10),BA10/AZ10," - ")</f>
        <v>0.6</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408</v>
      </c>
      <c r="J12" s="196">
        <v>504</v>
      </c>
      <c r="K12" s="196">
        <v>602</v>
      </c>
      <c r="L12" s="196">
        <v>310</v>
      </c>
      <c r="M12" s="196">
        <v>167</v>
      </c>
      <c r="N12" s="196">
        <v>185</v>
      </c>
      <c r="O12" s="194">
        <v>41</v>
      </c>
      <c r="P12" s="196">
        <v>155</v>
      </c>
      <c r="Q12" s="196">
        <v>99</v>
      </c>
      <c r="R12" s="196">
        <v>639</v>
      </c>
      <c r="S12" s="196">
        <v>345</v>
      </c>
      <c r="T12" s="196">
        <v>401</v>
      </c>
      <c r="U12" s="196">
        <v>338</v>
      </c>
      <c r="V12" s="196">
        <v>408</v>
      </c>
      <c r="W12" s="196">
        <v>149</v>
      </c>
      <c r="X12" s="202">
        <v>46</v>
      </c>
      <c r="Y12" s="204">
        <v>12</v>
      </c>
      <c r="Z12" s="194">
        <v>27</v>
      </c>
      <c r="AA12" s="194">
        <v>31</v>
      </c>
      <c r="AB12" s="194">
        <v>8</v>
      </c>
      <c r="AC12" s="196">
        <v>0</v>
      </c>
      <c r="AD12" s="196">
        <v>0</v>
      </c>
      <c r="AE12" s="196">
        <v>0</v>
      </c>
      <c r="AF12" s="202">
        <v>0</v>
      </c>
      <c r="AG12" s="215">
        <v>15</v>
      </c>
      <c r="AH12" s="196">
        <v>15</v>
      </c>
      <c r="AI12" s="196">
        <v>18</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360</v>
      </c>
      <c r="AZ12" s="137">
        <f t="shared" si="1"/>
        <v>416</v>
      </c>
      <c r="BA12" s="137">
        <f t="shared" si="1"/>
        <v>356</v>
      </c>
      <c r="BB12" s="137">
        <f t="shared" si="1"/>
        <v>420</v>
      </c>
      <c r="BC12" s="135">
        <f>IF(ISNUMBER(X12),X12," - ")</f>
        <v>46</v>
      </c>
      <c r="BD12" s="136">
        <f t="shared" si="2"/>
        <v>0.85576923076923073</v>
      </c>
      <c r="BE12" s="137">
        <f t="shared" si="3"/>
        <v>1.1797752808988764</v>
      </c>
      <c r="BF12" s="137">
        <f t="shared" si="4"/>
        <v>0.12921348314606743</v>
      </c>
      <c r="BG12" s="209">
        <f t="shared" si="5"/>
        <v>2.1797752808988764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v>
      </c>
      <c r="J14" s="197">
        <f t="shared" si="7"/>
        <v>506</v>
      </c>
      <c r="K14" s="197">
        <f t="shared" si="7"/>
        <v>604</v>
      </c>
      <c r="L14" s="197">
        <f t="shared" si="7"/>
        <v>316</v>
      </c>
      <c r="M14" s="197">
        <f t="shared" si="7"/>
        <v>167</v>
      </c>
      <c r="N14" s="197">
        <f t="shared" si="7"/>
        <v>185</v>
      </c>
      <c r="O14" s="197">
        <f t="shared" si="7"/>
        <v>41</v>
      </c>
      <c r="P14" s="197">
        <f t="shared" si="7"/>
        <v>155</v>
      </c>
      <c r="Q14" s="197">
        <f t="shared" si="7"/>
        <v>99</v>
      </c>
      <c r="R14" s="197">
        <f t="shared" si="7"/>
        <v>639</v>
      </c>
      <c r="S14" s="197">
        <f t="shared" si="7"/>
        <v>349</v>
      </c>
      <c r="T14" s="197">
        <f t="shared" si="7"/>
        <v>406</v>
      </c>
      <c r="U14" s="197">
        <f t="shared" si="7"/>
        <v>341</v>
      </c>
      <c r="V14" s="197">
        <f t="shared" si="7"/>
        <v>414</v>
      </c>
      <c r="W14" s="197">
        <f t="shared" si="7"/>
        <v>149</v>
      </c>
      <c r="X14" s="197">
        <f t="shared" si="7"/>
        <v>46</v>
      </c>
      <c r="Y14" s="197">
        <f t="shared" si="7"/>
        <v>12</v>
      </c>
      <c r="Z14" s="197">
        <f t="shared" si="7"/>
        <v>27</v>
      </c>
      <c r="AA14" s="197">
        <f t="shared" si="7"/>
        <v>31</v>
      </c>
      <c r="AB14" s="197">
        <f t="shared" si="7"/>
        <v>8</v>
      </c>
      <c r="AC14" s="197">
        <f t="shared" si="7"/>
        <v>0</v>
      </c>
      <c r="AD14" s="197">
        <f t="shared" si="7"/>
        <v>0</v>
      </c>
      <c r="AE14" s="197">
        <f t="shared" si="7"/>
        <v>0</v>
      </c>
      <c r="AF14" s="197">
        <f>SUBTOTAL(9,AF9:AF13)</f>
        <v>0</v>
      </c>
      <c r="AG14" s="197">
        <f t="shared" ref="AG14:AT14" si="8">SUBTOTAL(9,AG8:AG13)</f>
        <v>15</v>
      </c>
      <c r="AH14" s="197">
        <f t="shared" si="8"/>
        <v>15</v>
      </c>
      <c r="AI14" s="197">
        <f t="shared" si="8"/>
        <v>18</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364</v>
      </c>
      <c r="AZ14" s="197">
        <f>SUBTOTAL(9,AZ8:AZ13)</f>
        <v>421</v>
      </c>
      <c r="BA14" s="197">
        <f>SUBTOTAL(9,BA8:BA13)</f>
        <v>359</v>
      </c>
      <c r="BB14" s="197">
        <f>SUBTOTAL(9,BB8:BB13)</f>
        <v>426</v>
      </c>
      <c r="BC14" s="197">
        <f>SUBTOTAL(9,BC8:BC13)</f>
        <v>46</v>
      </c>
      <c r="BD14" s="219">
        <f>IF(ISNUMBER(BA14/AZ14),BA14/AZ14," - ")</f>
        <v>0.85273159144893107</v>
      </c>
      <c r="BE14" s="220">
        <f>IF(ISNUMBER(BB14/BA14),BB14/BA14, " - ")</f>
        <v>1.1866295264623956</v>
      </c>
      <c r="BF14" s="220">
        <f>IF(ISNUMBER(BC14/BA14),BC14/BA14, " - ")</f>
        <v>0.12813370473537605</v>
      </c>
      <c r="BG14" s="221">
        <f>IF(ISNUMBER((AY14+AZ14)/BA14),(AY14+AZ14)/BA14," - ")</f>
        <v>2.1866295264623954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596</v>
      </c>
      <c r="K17" s="196">
        <v>581</v>
      </c>
      <c r="L17" s="196">
        <v>320</v>
      </c>
      <c r="M17" s="196">
        <v>75</v>
      </c>
      <c r="N17" s="196">
        <v>417</v>
      </c>
      <c r="O17" s="194">
        <v>9</v>
      </c>
      <c r="P17" s="196">
        <v>32</v>
      </c>
      <c r="Q17" s="196">
        <v>32</v>
      </c>
      <c r="R17" s="196">
        <v>1</v>
      </c>
      <c r="S17" s="196">
        <v>143</v>
      </c>
      <c r="T17" s="196">
        <v>508</v>
      </c>
      <c r="U17" s="196">
        <v>346</v>
      </c>
      <c r="V17" s="196">
        <v>305</v>
      </c>
      <c r="W17" s="196">
        <v>68</v>
      </c>
      <c r="X17" s="202">
        <v>229</v>
      </c>
      <c r="Y17" s="215">
        <v>0</v>
      </c>
      <c r="Z17" s="196">
        <v>0</v>
      </c>
      <c r="AA17" s="196">
        <v>0</v>
      </c>
      <c r="AB17" s="196">
        <v>0</v>
      </c>
      <c r="AC17" s="196">
        <v>0</v>
      </c>
      <c r="AD17" s="196">
        <v>8</v>
      </c>
      <c r="AE17" s="196">
        <v>8</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143</v>
      </c>
      <c r="AZ17" s="137">
        <f t="shared" si="10"/>
        <v>508</v>
      </c>
      <c r="BA17" s="137">
        <f t="shared" si="10"/>
        <v>346</v>
      </c>
      <c r="BB17" s="137">
        <f t="shared" si="10"/>
        <v>305</v>
      </c>
      <c r="BC17" s="135">
        <f>IF(ISNUMBER(W17),W17," - ")</f>
        <v>68</v>
      </c>
      <c r="BD17" s="136">
        <f t="shared" ref="BD17:BD22" si="12">IF(ISNUMBER(BA17/AZ17),BA17/AZ17," - ")</f>
        <v>0.68110236220472442</v>
      </c>
      <c r="BE17" s="137">
        <f t="shared" ref="BE17:BE22" si="13">IF(ISNUMBER(BB17/BA17),BB17/BA17, " - ")</f>
        <v>0.88150289017341044</v>
      </c>
      <c r="BF17" s="137">
        <f t="shared" ref="BF17:BF22" si="14">IF(ISNUMBER(BC17/BA17),BC17/BA17, " - ")</f>
        <v>0.19653179190751446</v>
      </c>
      <c r="BG17" s="209">
        <f t="shared" si="11"/>
        <v>1.8815028901734103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16</v>
      </c>
      <c r="K18" s="196">
        <v>16</v>
      </c>
      <c r="L18" s="196">
        <v>7</v>
      </c>
      <c r="M18" s="196">
        <v>4</v>
      </c>
      <c r="N18" s="196">
        <v>16</v>
      </c>
      <c r="O18" s="196">
        <v>0</v>
      </c>
      <c r="P18" s="196">
        <v>0</v>
      </c>
      <c r="Q18" s="196">
        <v>0</v>
      </c>
      <c r="R18" s="196">
        <v>0</v>
      </c>
      <c r="S18" s="196">
        <v>8</v>
      </c>
      <c r="T18" s="196">
        <v>24</v>
      </c>
      <c r="U18" s="196">
        <v>24</v>
      </c>
      <c r="V18" s="196">
        <v>7</v>
      </c>
      <c r="W18" s="196">
        <v>6</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24</v>
      </c>
      <c r="BA18" s="139">
        <f t="shared" si="15"/>
        <v>24</v>
      </c>
      <c r="BB18" s="139">
        <f t="shared" si="15"/>
        <v>7</v>
      </c>
      <c r="BC18" s="135">
        <f>IF(ISNUMBER(W18),W18," - ")</f>
        <v>6</v>
      </c>
      <c r="BD18" s="136">
        <f>IF(ISNUMBER(BA18/AZ18),BA18/AZ18," - ")</f>
        <v>1</v>
      </c>
      <c r="BE18" s="137">
        <f>IF(ISNUMBER(BB18/BA18),BB18/BA18, " - ")</f>
        <v>0.29166666666666669</v>
      </c>
      <c r="BF18" s="137">
        <f>IF(ISNUMBER(BC18/BA18),BC18/BA18, " - ")</f>
        <v>0.25</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312</v>
      </c>
      <c r="J23" s="197">
        <f t="shared" si="21"/>
        <v>612</v>
      </c>
      <c r="K23" s="197">
        <f t="shared" si="21"/>
        <v>597</v>
      </c>
      <c r="L23" s="197">
        <f t="shared" si="21"/>
        <v>327</v>
      </c>
      <c r="M23" s="197">
        <f t="shared" si="21"/>
        <v>79</v>
      </c>
      <c r="N23" s="197">
        <f t="shared" si="21"/>
        <v>433</v>
      </c>
      <c r="O23" s="197">
        <f t="shared" si="21"/>
        <v>9</v>
      </c>
      <c r="P23" s="197">
        <f t="shared" si="21"/>
        <v>32</v>
      </c>
      <c r="Q23" s="197">
        <f t="shared" si="21"/>
        <v>32</v>
      </c>
      <c r="R23" s="197">
        <f t="shared" si="21"/>
        <v>1</v>
      </c>
      <c r="S23" s="197">
        <f t="shared" si="21"/>
        <v>151</v>
      </c>
      <c r="T23" s="197">
        <f t="shared" si="21"/>
        <v>532</v>
      </c>
      <c r="U23" s="197">
        <f t="shared" si="21"/>
        <v>370</v>
      </c>
      <c r="V23" s="197">
        <f t="shared" si="21"/>
        <v>312</v>
      </c>
      <c r="W23" s="197">
        <f t="shared" si="21"/>
        <v>74</v>
      </c>
      <c r="X23" s="197">
        <f t="shared" si="21"/>
        <v>253</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151</v>
      </c>
      <c r="AZ23" s="197">
        <f>SUBTOTAL(9,AZ15:AZ22)</f>
        <v>532</v>
      </c>
      <c r="BA23" s="197">
        <f>SUBTOTAL(9,BA15:BA22)</f>
        <v>370</v>
      </c>
      <c r="BB23" s="197">
        <f>SUBTOTAL(9,BB15:BB22)</f>
        <v>312</v>
      </c>
      <c r="BC23" s="197">
        <f>SUBTOTAL(9,BC15:BC22)</f>
        <v>74</v>
      </c>
      <c r="BD23" s="219">
        <f>IF(ISNUMBER(BA23/AZ23),BA23/AZ23," - ")</f>
        <v>0.69548872180451127</v>
      </c>
      <c r="BE23" s="220">
        <f>IF(ISNUMBER(BB23/BA23),BB23/BA23, " - ")</f>
        <v>0.84324324324324329</v>
      </c>
      <c r="BF23" s="220">
        <f>IF(ISNUMBER(BC23/BA23),BC23/BA23, " - ")</f>
        <v>0.2</v>
      </c>
      <c r="BG23" s="221">
        <f>IF(ISNUMBER((AY23+AZ23)/BA23),(AY23+AZ23)/BA23," - ")</f>
        <v>1.845945945945946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726</v>
      </c>
      <c r="J31" s="144">
        <f t="shared" si="36"/>
        <v>1118</v>
      </c>
      <c r="K31" s="144">
        <f t="shared" si="36"/>
        <v>1201</v>
      </c>
      <c r="L31" s="144">
        <f t="shared" si="36"/>
        <v>643</v>
      </c>
      <c r="M31" s="144">
        <f t="shared" si="36"/>
        <v>246</v>
      </c>
      <c r="N31" s="144">
        <f t="shared" si="36"/>
        <v>618</v>
      </c>
      <c r="O31" s="144">
        <f t="shared" si="36"/>
        <v>50</v>
      </c>
      <c r="P31" s="144">
        <f t="shared" si="36"/>
        <v>187</v>
      </c>
      <c r="Q31" s="144">
        <f t="shared" si="36"/>
        <v>131</v>
      </c>
      <c r="R31" s="144">
        <f t="shared" si="36"/>
        <v>640</v>
      </c>
      <c r="S31" s="144">
        <f t="shared" si="36"/>
        <v>500</v>
      </c>
      <c r="T31" s="144">
        <f t="shared" si="36"/>
        <v>938</v>
      </c>
      <c r="U31" s="144">
        <f t="shared" si="36"/>
        <v>711</v>
      </c>
      <c r="V31" s="144">
        <f t="shared" si="36"/>
        <v>726</v>
      </c>
      <c r="W31" s="144">
        <f t="shared" si="36"/>
        <v>223</v>
      </c>
      <c r="X31" s="144">
        <f t="shared" si="36"/>
        <v>299</v>
      </c>
      <c r="Y31" s="144">
        <f t="shared" si="36"/>
        <v>12</v>
      </c>
      <c r="Z31" s="144">
        <f t="shared" si="36"/>
        <v>27</v>
      </c>
      <c r="AA31" s="144">
        <f t="shared" si="36"/>
        <v>31</v>
      </c>
      <c r="AB31" s="144">
        <f t="shared" si="36"/>
        <v>8</v>
      </c>
      <c r="AC31" s="144">
        <f t="shared" si="36"/>
        <v>0</v>
      </c>
      <c r="AD31" s="144">
        <f t="shared" si="36"/>
        <v>8</v>
      </c>
      <c r="AE31" s="144">
        <f t="shared" si="36"/>
        <v>8</v>
      </c>
      <c r="AF31" s="144">
        <f t="shared" si="36"/>
        <v>0</v>
      </c>
      <c r="AG31" s="144">
        <f t="shared" si="36"/>
        <v>15</v>
      </c>
      <c r="AH31" s="144">
        <f t="shared" si="36"/>
        <v>15</v>
      </c>
      <c r="AI31" s="144">
        <f t="shared" si="36"/>
        <v>18</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515</v>
      </c>
      <c r="AZ31" s="144">
        <f>SUBTOTAL(9,AZ9:AZ30)</f>
        <v>953</v>
      </c>
      <c r="BA31" s="144">
        <f>SUBTOTAL(9,BA9:BA30)</f>
        <v>729</v>
      </c>
      <c r="BB31" s="144">
        <f>SUBTOTAL(9,BB9:BB30)</f>
        <v>738</v>
      </c>
      <c r="BC31" s="145">
        <f>SUBTOTAL(9,BC9:BC30)</f>
        <v>120</v>
      </c>
      <c r="BD31" s="227">
        <f>IF(ISNUMBER(BA31/AZ31),BA31/AZ31," - ")</f>
        <v>0.76495278069254979</v>
      </c>
      <c r="BE31" s="224">
        <f>IF(ISNUMBER(BB31/BA31),BB31/BA31, " - ")</f>
        <v>1.0123456790123457</v>
      </c>
      <c r="BF31" s="224">
        <f>IF(ISNUMBER(BC31/BA31),BC31/BA31, " - ")</f>
        <v>0.16460905349794239</v>
      </c>
      <c r="BG31" s="145">
        <f>IF(ISNUMBER((AY31+AZ31)/BA31),(AY31+AZ31)/BA31," - ")</f>
        <v>2.0137174211248285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C0CpRIpnDEWone4nqtJFidfXeXDLOgWPA4M8QYPKSIcTWyrqeU7F/RYUizYlU4xu20k7pernoRK0aLxRWgBw==" saltValue="opSu8Aubzh2o3O5CDcMT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ZWH8GEUD93K0oivsXGJ2XgmuIaF0npB2/g4AEc2DSg3onCJ5JMGo7angEmyjK2JJk1+twguSXgYr+eGnLO4ig==" saltValue="fGBtCSRwHIytmmOtFhhC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SEPULVEDA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155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167</v>
      </c>
      <c r="BD12" s="693">
        <f>IF(ISNUMBER(Datos!N12),Datos!N12," - ")</f>
        <v>185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1.192090395480226</v>
      </c>
      <c r="BH12" s="764">
        <f>IF(ISNUMBER(((IF(J_V="SI",Datos!L12/Datos!K12,(Datos!L12+Datos!AB12)/(Datos!K12+Datos!AA12)))*11)/factor_trimestre),((IF(J_V="SI",Datos!L12/Datos!K12,(Datos!L12+Datos!AB12)/(Datos!K12+Datos!AA12)))*11)/factor_trimestre," - ")</f>
        <v>5.5260663507109005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9.6054888507718691E-2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155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99</v>
      </c>
      <c r="AD14" s="1198">
        <f t="shared" si="2"/>
        <v>0</v>
      </c>
      <c r="AE14" s="1198">
        <f t="shared" si="2"/>
        <v>0</v>
      </c>
      <c r="AF14" s="1198">
        <f t="shared" si="2"/>
        <v>6</v>
      </c>
      <c r="AG14" s="1198">
        <f t="shared" si="2"/>
        <v>0</v>
      </c>
      <c r="AH14" s="1198">
        <f t="shared" si="2"/>
        <v>8</v>
      </c>
      <c r="AI14" s="1198">
        <f t="shared" si="2"/>
        <v>0</v>
      </c>
      <c r="AJ14" s="1198">
        <f t="shared" si="2"/>
        <v>0</v>
      </c>
      <c r="AK14" s="1198">
        <f t="shared" si="2"/>
        <v>0</v>
      </c>
      <c r="AL14" s="1198">
        <f t="shared" si="2"/>
        <v>0</v>
      </c>
      <c r="AM14" s="1198">
        <f t="shared" si="2"/>
        <v>639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v>
      </c>
      <c r="BD14" s="1198">
        <f t="shared" si="2"/>
        <v>185</v>
      </c>
      <c r="BE14" s="1198">
        <f t="shared" si="2"/>
        <v>0</v>
      </c>
      <c r="BF14" s="1198">
        <f t="shared" si="2"/>
        <v>0</v>
      </c>
      <c r="BG14" s="1198">
        <f>IF(ISNUMBER(Datos!K14/Datos!J14),Datos!K14/Datos!J14," - ")</f>
        <v>1.1936758893280632</v>
      </c>
      <c r="BH14" s="1202">
        <f>IF(ISNUMBER(((Datos!L14/Datos!K14)*11)/factor_trimestre),((Datos!L14/Datos!K14)*11)/factor_trimestre," - ")</f>
        <v>5.7549668874172184</v>
      </c>
      <c r="BI14" s="1198">
        <f>IF(ISNUMBER('Resol  Asuntos'!D14/NºAsuntos!G14),'Resol  Asuntos'!D14/NºAsuntos!G14," - ")</f>
        <v>0.26299212598425198</v>
      </c>
      <c r="BJ14" s="1198" t="str">
        <f>IF(ISNUMBER(Datos!CI14/Datos!CJ14),Datos!CI14/Datos!CJ14," - ")</f>
        <v xml:space="preserve"> - </v>
      </c>
      <c r="BK14" s="1198">
        <f>SUBTOTAL(9,BK8:BK13)</f>
        <v>0</v>
      </c>
      <c r="BL14" s="1198">
        <f>IF(ISNUMBER((I14-AB14+L14)/(F14)),(I14-AB14+L14)/(F14)," - ")</f>
        <v>-0.33333333333333331</v>
      </c>
      <c r="BM14" s="1203">
        <f>SUBTOTAL(9,BM9:BM13)</f>
        <v>9.6054888507718691E-2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305</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581</v>
      </c>
      <c r="AC17" s="240">
        <f>IF(ISNUMBER(Datos!Q17),Datos!Q17," - ")</f>
        <v>32</v>
      </c>
      <c r="AD17" s="374"/>
      <c r="AE17" s="562"/>
      <c r="AF17" s="741">
        <f>IF(ISNUMBER(IF(D_I="SI",Datos!L17,Datos!L17+Datos!AF17)),IF(D_I="SI",Datos!L17,Datos!L17+Datos!AF17)," - ")</f>
        <v>320</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417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0.97483221476510062</v>
      </c>
      <c r="BH17" s="764">
        <f>IF(ISNUMBER(((IF(D_I="SI",Datos!L17/Datos!K17,(Datos!L17+Datos!AF17)/(Datos!K17+Datos!AE17)))*11)/factor_trimestre),((IF(D_I="SI",Datos!L17/Datos!K17,(Datos!L17+Datos!AF17)/(Datos!K17+Datos!AE17)))*11)/factor_trimestre," - ")</f>
        <v>6.0585197934595518</v>
      </c>
      <c r="BI17" s="266">
        <f>IF(ISNUMBER('Resol  Asuntos'!D17/NºAsuntos!G17),'Resol  Asuntos'!D17/NºAsuntos!G17," - ")</f>
        <v>0.12908777969018934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4.8125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305</v>
      </c>
      <c r="G23" s="1197">
        <f>SUBTOTAL(9,G16:G22)</f>
        <v>312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597</v>
      </c>
      <c r="AC23" s="1198">
        <f t="shared" si="5"/>
        <v>32</v>
      </c>
      <c r="AD23" s="1198">
        <f t="shared" si="5"/>
        <v>0</v>
      </c>
      <c r="AE23" s="1198">
        <f t="shared" si="5"/>
        <v>0</v>
      </c>
      <c r="AF23" s="1198">
        <f t="shared" si="5"/>
        <v>327</v>
      </c>
      <c r="AG23" s="1198">
        <f t="shared" si="5"/>
        <v>0</v>
      </c>
      <c r="AH23" s="1198">
        <f t="shared" si="5"/>
        <v>0</v>
      </c>
      <c r="AI23" s="1198">
        <f t="shared" si="5"/>
        <v>0</v>
      </c>
      <c r="AJ23" s="1198">
        <f t="shared" si="5"/>
        <v>0</v>
      </c>
      <c r="AK23" s="1198">
        <f t="shared" si="5"/>
        <v>0</v>
      </c>
      <c r="AL23" s="1198">
        <f t="shared" si="5"/>
        <v>0</v>
      </c>
      <c r="AM23" s="1198">
        <f t="shared" si="5"/>
        <v>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433</v>
      </c>
      <c r="BE23" s="1198">
        <f t="shared" si="5"/>
        <v>0</v>
      </c>
      <c r="BF23" s="1198">
        <f t="shared" si="5"/>
        <v>0</v>
      </c>
      <c r="BG23" s="1198">
        <f>IF(ISNUMBER(Datos!K23/Datos!J23),Datos!K23/Datos!J23," - ")</f>
        <v>0.97549019607843135</v>
      </c>
      <c r="BH23" s="1202">
        <f>IF(ISNUMBER(((Datos!L23/Datos!K23)*11)/factor_trimestre),((Datos!L23/Datos!K23)*11)/factor_trimestre," - ")</f>
        <v>6.025125628140704</v>
      </c>
      <c r="BI23" s="1198">
        <f>SUBTOTAL(9,BI16:BI22)</f>
        <v>0.37908777969018936</v>
      </c>
      <c r="BJ23" s="1198">
        <f>SUBTOTAL(9,BJ16:BJ22)</f>
        <v>0</v>
      </c>
      <c r="BK23" s="1198">
        <f>SUBTOTAL(9,BK16:BK22)</f>
        <v>0</v>
      </c>
      <c r="BL23" s="1198">
        <f>IF(ISNUMBER((I23-AB23+L23)/(F23)),(I23-AB23+L23)/(F23)," - ")</f>
        <v>-1.957377049180328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311</v>
      </c>
      <c r="G31" s="1117">
        <f t="shared" si="18"/>
        <v>318</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599</v>
      </c>
      <c r="AC31" s="1118">
        <f t="shared" si="19"/>
        <v>131</v>
      </c>
      <c r="AD31" s="1118">
        <f t="shared" si="19"/>
        <v>0</v>
      </c>
      <c r="AE31" s="1118">
        <f t="shared" si="19"/>
        <v>0</v>
      </c>
      <c r="AF31" s="1125">
        <f t="shared" si="19"/>
        <v>333</v>
      </c>
      <c r="AG31" s="1125">
        <f t="shared" si="19"/>
        <v>0</v>
      </c>
      <c r="AH31" s="1125">
        <f t="shared" si="19"/>
        <v>8</v>
      </c>
      <c r="AI31" s="1125">
        <f t="shared" si="19"/>
        <v>0</v>
      </c>
      <c r="AJ31" s="1118">
        <f t="shared" si="19"/>
        <v>0</v>
      </c>
      <c r="AK31" s="1125">
        <f t="shared" si="19"/>
        <v>0</v>
      </c>
      <c r="AL31" s="1125">
        <f t="shared" si="19"/>
        <v>0</v>
      </c>
      <c r="AM31" s="1125">
        <f t="shared" si="19"/>
        <v>640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246</v>
      </c>
      <c r="BD31" s="1117">
        <f t="shared" si="19"/>
        <v>618</v>
      </c>
      <c r="BE31" s="1117">
        <f t="shared" si="19"/>
        <v>0</v>
      </c>
      <c r="BF31" s="1127">
        <f t="shared" si="19"/>
        <v>0</v>
      </c>
      <c r="BG31" s="1223">
        <f>IF(ISNUMBER(Datos!K31/Datos!J31),Datos!K31/Datos!J31," - ")</f>
        <v>1.0742397137745976</v>
      </c>
      <c r="BH31" s="1223">
        <f>IF(ISNUMBER(((Datos!L31/Datos!K31)*11)/factor_trimestre),((Datos!L31/Datos!K31)*11)/factor_trimestre," - ")</f>
        <v>5.8892589508742716</v>
      </c>
      <c r="BI31" s="1103">
        <f>IF(ISNUMBER(Datos!J31/Datos!I31),Datos!J31/Datos!I31," - ")</f>
        <v>1.5399449035812671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-1.9260450160771705</v>
      </c>
      <c r="BM31" s="1188">
        <f>IF(ISNUMBER((Datos!P31-Datos!Q31+R31)/(Datos!R31-Datos!P31+Datos!Q31-R31)),(Datos!P31-Datos!Q31+R31)/(Datos!R31-Datos!P31+Datos!Q31-R31)," - ")</f>
        <v>9.5890410958904104E-2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155.97521170579211</v>
      </c>
      <c r="G33" s="674">
        <f>IF(ISNUMBER(STDEV(G8:G30)),STDEV(G8:G30),"-")</f>
        <v>148.71945464691629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285.54184081696826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73.096804698583483</v>
      </c>
      <c r="BD33" s="673"/>
      <c r="BE33" s="673">
        <f>IF(ISNUMBER(STDEV(BE8:BE30)),STDEV(BE8:BE30),"-")</f>
        <v>0</v>
      </c>
      <c r="BF33" s="678">
        <f>IF(ISNUMBER(STDEV(BF8:BF30)),STDEV(BF8:BF30),"-")</f>
        <v>0</v>
      </c>
      <c r="BG33" s="1052">
        <f>IF(ISNUMBER(STDEV(BG8:BG30)),STDEV(BG8:BG30),"-")</f>
        <v>0.10659951483990206</v>
      </c>
      <c r="BH33" s="1058">
        <f>IF(ISNUMBER(STDEV(BH8:BH30)),STDEV(BH8:BH30),"-")</f>
        <v>11.18079137538686</v>
      </c>
      <c r="BI33" s="273">
        <f>IF(ISNUMBER(STDEV(BI8:BI30)),STDEV(BI8:BI30),"-")</f>
        <v>0.10220925838242795</v>
      </c>
      <c r="BJ33" s="244" t="str">
        <f>IF(ISNUMBER(BL33/BM33),BL33/BM33," - ")</f>
        <v xml:space="preserve"> - </v>
      </c>
      <c r="BK33" s="709"/>
      <c r="BL33" s="681">
        <f>IF(ISNUMBER(STDEV(BL8:BL30)),STDEV(BL8:BL30),"-")</f>
        <v>1.1483723244188082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Sd8LlnotZtUEXUtuHSYeHs9qITqg73IdyCsbRA4vSVF4Zwe2u6b8SXtDZ/Pv2epBsySLEs5pOfxBGzYk28bWQ==" saltValue="tN/TdLKuTEUwdBW68snl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SEPULVEDA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639</v>
      </c>
      <c r="AF12" s="693" t="str">
        <f>IF(ISNUMBER(Datos!BV12),Datos!BV12," - ")</f>
        <v xml:space="preserve"> - </v>
      </c>
      <c r="AG12" s="552" t="str">
        <f>IF(ISNUMBER(Datos!DV12),Datos!DV12," - ")</f>
        <v xml:space="preserve"> - </v>
      </c>
      <c r="AH12" s="553"/>
      <c r="AI12" s="554"/>
      <c r="AJ12" s="552">
        <f>IF(ISNUMBER(Datos!M12),Datos!M12," - ")</f>
        <v>167</v>
      </c>
      <c r="AK12" s="693">
        <f>IF(ISNUMBER(Datos!N12),Datos!N12," - ")</f>
        <v>185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5.5260663507109005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9.6054888507718691E-2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99</v>
      </c>
      <c r="AA14" s="1199">
        <f t="shared" si="3"/>
        <v>6</v>
      </c>
      <c r="AB14" s="1199">
        <f t="shared" si="3"/>
        <v>0</v>
      </c>
      <c r="AC14" s="1199">
        <f t="shared" si="3"/>
        <v>0</v>
      </c>
      <c r="AD14" s="1199">
        <f t="shared" si="3"/>
        <v>0</v>
      </c>
      <c r="AE14" s="1199">
        <f t="shared" si="3"/>
        <v>639</v>
      </c>
      <c r="AF14" s="1211">
        <f t="shared" si="3"/>
        <v>0</v>
      </c>
      <c r="AG14" s="1211">
        <f t="shared" si="3"/>
        <v>0</v>
      </c>
      <c r="AH14" s="1211">
        <f t="shared" si="3"/>
        <v>0</v>
      </c>
      <c r="AI14" s="1211">
        <f t="shared" si="3"/>
        <v>0</v>
      </c>
      <c r="AJ14" s="1211">
        <f t="shared" si="3"/>
        <v>167</v>
      </c>
      <c r="AK14" s="1211">
        <f t="shared" si="3"/>
        <v>185</v>
      </c>
      <c r="AL14" s="1211">
        <f t="shared" si="3"/>
        <v>0</v>
      </c>
      <c r="AM14" s="1211">
        <f t="shared" si="3"/>
        <v>0</v>
      </c>
      <c r="AN14" s="1211">
        <f t="shared" si="3"/>
        <v>0</v>
      </c>
      <c r="AO14" s="1203">
        <f>IF(ISNUMBER(((NºAsuntos!I14/NºAsuntos!G14)*11)/factor_trimestre),((NºAsuntos!I14/NºAsuntos!G14)*11)/factor_trimestre," - ")</f>
        <v>5.6125984251968513</v>
      </c>
      <c r="AP14" s="1213" t="str">
        <f>IF(ISNUMBER(Datos!CI14/Datos!CJ14),Datos!CI14/Datos!CJ14," - ")</f>
        <v xml:space="preserve"> - </v>
      </c>
      <c r="AQ14" s="1236">
        <f t="shared" ref="AQ14:AV14" si="4">SUBTOTAL(9,AQ9:AQ13)</f>
        <v>0</v>
      </c>
      <c r="AR14" s="1236">
        <f t="shared" si="4"/>
        <v>9.6054888507718691E-2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305</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581</v>
      </c>
      <c r="Z17" s="805">
        <f>IF(ISNUMBER(Datos!Q17),Datos!Q17," - ")</f>
        <v>32</v>
      </c>
      <c r="AA17" s="551">
        <f>IF(ISNUMBER(IF(D_I="SI",Datos!L17,Datos!L17+Datos!AF17)),IF(D_I="SI",Datos!L17,Datos!L17+Datos!AF17)," - ")</f>
        <v>320</v>
      </c>
      <c r="AB17" s="549"/>
      <c r="AC17" s="549"/>
      <c r="AD17" s="563"/>
      <c r="AE17" s="563">
        <f>IF(ISNUMBER(Datos!R17),Datos!R17," - ")</f>
        <v>1</v>
      </c>
      <c r="AF17" s="693" t="str">
        <f>IF(ISNUMBER(Datos!BV17),Datos!BV17," - ")</f>
        <v xml:space="preserve"> - </v>
      </c>
      <c r="AG17" s="552"/>
      <c r="AH17" s="553"/>
      <c r="AI17" s="554"/>
      <c r="AJ17" s="552">
        <f>IF(ISNUMBER(Datos!M17),Datos!M17," - ")</f>
        <v>75</v>
      </c>
      <c r="AK17" s="693">
        <f>IF(ISNUMBER(Datos!N17),Datos!N17," - ")</f>
        <v>417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6.0585197934595518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305</v>
      </c>
      <c r="G23" s="1197">
        <f>SUBTOTAL(9,G16:G22)</f>
        <v>312</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597</v>
      </c>
      <c r="Z23" s="1240">
        <f t="shared" si="6"/>
        <v>32</v>
      </c>
      <c r="AA23" s="1240">
        <f t="shared" si="6"/>
        <v>327</v>
      </c>
      <c r="AB23" s="1240">
        <f t="shared" si="6"/>
        <v>0</v>
      </c>
      <c r="AC23" s="1240">
        <f t="shared" si="6"/>
        <v>0</v>
      </c>
      <c r="AD23" s="1240">
        <f t="shared" si="6"/>
        <v>0</v>
      </c>
      <c r="AE23" s="1240">
        <f t="shared" si="6"/>
        <v>1</v>
      </c>
      <c r="AF23" s="1240">
        <f t="shared" si="6"/>
        <v>0</v>
      </c>
      <c r="AG23" s="1240">
        <f t="shared" si="6"/>
        <v>0</v>
      </c>
      <c r="AH23" s="1240">
        <f t="shared" si="6"/>
        <v>0</v>
      </c>
      <c r="AI23" s="1240">
        <f t="shared" si="6"/>
        <v>0</v>
      </c>
      <c r="AJ23" s="1240">
        <f t="shared" si="6"/>
        <v>79</v>
      </c>
      <c r="AK23" s="1240">
        <f t="shared" si="6"/>
        <v>433</v>
      </c>
      <c r="AL23" s="1240">
        <f t="shared" si="6"/>
        <v>0</v>
      </c>
      <c r="AM23" s="1240">
        <f t="shared" si="6"/>
        <v>0</v>
      </c>
      <c r="AN23" s="1240">
        <f t="shared" si="6"/>
        <v>0</v>
      </c>
      <c r="AO23" s="1242">
        <f>IF(ISNUMBER(((NºAsuntos!I23/NºAsuntos!G23)*11)/factor_trimestre),((NºAsuntos!I23/NºAsuntos!G23)*11)/factor_trimestre," - ")</f>
        <v>6.025125628140704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311</v>
      </c>
      <c r="G31" s="1117">
        <f t="shared" si="12"/>
        <v>318</v>
      </c>
      <c r="H31" s="1118">
        <f t="shared" si="12"/>
        <v>0</v>
      </c>
      <c r="I31" s="1117">
        <f t="shared" si="12"/>
        <v>0</v>
      </c>
      <c r="J31" s="1119">
        <f t="shared" si="12"/>
        <v>0</v>
      </c>
      <c r="K31" s="1117">
        <f t="shared" si="12"/>
        <v>0</v>
      </c>
      <c r="L31" s="1120">
        <f t="shared" si="12"/>
        <v>0</v>
      </c>
      <c r="M31" s="1117">
        <f t="shared" si="12"/>
        <v>0</v>
      </c>
      <c r="N31" s="1118">
        <f t="shared" si="12"/>
        <v>187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599</v>
      </c>
      <c r="Z31" s="1124">
        <f t="shared" si="13"/>
        <v>131</v>
      </c>
      <c r="AA31" s="1125">
        <f t="shared" si="13"/>
        <v>333</v>
      </c>
      <c r="AB31" s="1125">
        <f t="shared" si="13"/>
        <v>0</v>
      </c>
      <c r="AC31" s="1125">
        <f t="shared" si="13"/>
        <v>0</v>
      </c>
      <c r="AD31" s="1126">
        <f t="shared" si="13"/>
        <v>0</v>
      </c>
      <c r="AE31" s="1126">
        <f t="shared" si="13"/>
        <v>640</v>
      </c>
      <c r="AF31" s="1127">
        <f t="shared" si="13"/>
        <v>0</v>
      </c>
      <c r="AG31" s="1128">
        <f t="shared" si="13"/>
        <v>0</v>
      </c>
      <c r="AH31" s="1129">
        <f t="shared" si="13"/>
        <v>0</v>
      </c>
      <c r="AI31" s="1127">
        <f t="shared" si="13"/>
        <v>0</v>
      </c>
      <c r="AJ31" s="1117">
        <f t="shared" si="13"/>
        <v>246</v>
      </c>
      <c r="AK31" s="1117">
        <f t="shared" si="13"/>
        <v>618</v>
      </c>
      <c r="AL31" s="1117">
        <f t="shared" si="13"/>
        <v>0</v>
      </c>
      <c r="AM31" s="1130">
        <f t="shared" si="13"/>
        <v>0</v>
      </c>
      <c r="AN31" s="1120">
        <f>IF(ISNUMBER(Datos!K31/Datos!J31),Datos!K31/Datos!J31," - ")</f>
        <v>1.0742397137745976</v>
      </c>
      <c r="AO31" s="1120">
        <f>IF(ISNUMBER(FIND("06",Criterios!A8,1)),(IF(ISNUMBER(((Datos!R31/Datos!Q31)*11)/factor_trimestre),((Datos!R31/Datos!Q31)*11)/factor_trimestre," - ")),(IF(ISNUMBER(((Datos!L31/Datos!K31)*11)/factor_trimestre),((Datos!L31/Datos!K31)*11)/factor_trimestre," - ")))</f>
        <v>5.8892589508742716</v>
      </c>
      <c r="AP31" s="1131" t="str">
        <f>IF(ISNUMBER(Datos!CI31/Datos!CJ31),Datos!CI31/Datos!CJ31," - ")</f>
        <v xml:space="preserve"> - </v>
      </c>
      <c r="AQ31" s="1131">
        <f>IF(OR(ISNUMBER(FIND("01",Criterios!A8,1)),ISNUMBER(FIND("02",Criterios!A8,1)),ISNUMBER(FIND("03",Criterios!A8,1)),ISNUMBER(FIND("04",Criterios!A8,1))),(J31-Y31+K31)/(F31-K31),(I31-Y31+K31)/(F31-K31))</f>
        <v>-1.9260450160771705</v>
      </c>
      <c r="AR31" s="1131">
        <f>IF(ISNUMBER((Datos!P31-Datos!Q31+O31)/(Datos!R31-Datos!P31+Datos!Q31-O31)),(Datos!P31-Datos!Q31+O31)/(Datos!R31-Datos!P31+Datos!Q31-O31)," - ")</f>
        <v>9.5890410958904104E-2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155.97521170579211</v>
      </c>
      <c r="G33" s="674">
        <f>IF(ISNUMBER(STDEV(G8:G30)),STDEV(G8:G30),"-")</f>
        <v>148.71945464691629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73.096804698583483</v>
      </c>
      <c r="AK33" s="276"/>
      <c r="AL33" s="276">
        <f>IF(ISNUMBER(STDEV(AL8:AL30)),STDEV(AL8:AL30),"-")</f>
        <v>0</v>
      </c>
      <c r="AM33" s="278">
        <f>IF(ISNUMBER(STDEV(AM8:AM30)),STDEV(AM8:AM30),"-")</f>
        <v>0</v>
      </c>
      <c r="AN33" s="660">
        <f>IF(ISNUMBER(STDEV(AN8:AN30)),STDEV(AN8:AN30),"-")</f>
        <v>0</v>
      </c>
      <c r="AO33" s="661">
        <f>IF(ISNUMBER(STDEV(AO8:AO30)),STDEV(AO8:AO30),"-")</f>
        <v>11.192246884279276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xlIo5n/eugqgeXEiI+TYT0gKqztDy1xPr4crDcq0eK3BKyRZLpjjF2q6j14bZSpjKhrQMNnojnhAH+iRD8dKA==" saltValue="njrM3FkDF24T9Qv63JIK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Jo3t7tQxp5RZd5/ahCrT/axjuP714PfZ1F1v2aRaIAoD/w54USh5tmqBwWiLp7IoIGEYaXvzLxACt5OJMVn4w==" saltValue="pnTjzZ0U5+LmtZc86S/h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zPf0uB5G2jIXVJxFfgLA81XxdperDOyBlfzMuTpDqnyDz8ao5v06XJh1JotwKsOsZ7H8BNI4lCIML8M+TRgw==" saltValue="tME7s1usQv1GnmqESAUG2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SEPULVEDA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0.26299212598425198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0.1859635156821314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ZOcOX+vzKzF/lHvBTUJ1djaUZoQDyM+ImnuSKKfydfBERQN+FScQ1wJBvq7JvYi5cP0S64llYpxOJ9bXVmBDw==" saltValue="TDj0JFoC0qNkqMvQk3NU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94aeNt6NaPpPO/M5/ohaJF5/wK94fBPUsEzqyw6EOKuc1CtWqKgLF2oiwHXCwXli6f0LFHYOzmW7pe7ecDlR9g==" saltValue="ZHLjUsmu2yY8s5Ecow9+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SEPULVEDA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2</v>
      </c>
      <c r="H10" s="452">
        <f>IF(ISNUMBER(G10/B10),G10/B10," - ")</f>
        <v>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420</v>
      </c>
      <c r="D12" s="452">
        <f>IF(ISNUMBER(C12/Datos!BH12),C12/Datos!BH12," - ")</f>
        <v>420</v>
      </c>
      <c r="E12" s="451">
        <f>IF(ISNUMBER(IF(J_V="SI",Datos!J12,Datos!J12+Datos!Z12)),IF(J_V="SI",Datos!J12,Datos!J12+Datos!Z12)," - ")</f>
        <v>531</v>
      </c>
      <c r="F12" s="452">
        <f>IF(ISNUMBER(E12/B12),E12/B12," - ")</f>
        <v>531</v>
      </c>
      <c r="G12" s="451">
        <f>IF(ISNUMBER(IF(J_V="SI",Datos!K12,Datos!K12+Datos!AA12)),IF(J_V="SI",Datos!K12,Datos!K12+Datos!AA12)," - ")</f>
        <v>633</v>
      </c>
      <c r="H12" s="452">
        <f>IF(ISNUMBER(G12/B12),G12/B12," - ")</f>
        <v>633</v>
      </c>
      <c r="I12" s="451">
        <f>IF(ISNUMBER(IF(J_V="SI",Datos!L12,Datos!L12+Datos!AB12)),IF(J_V="SI",Datos!L12,Datos!L12+Datos!AB12)," - ")</f>
        <v>318</v>
      </c>
      <c r="J12" s="452">
        <f>IF(ISNUMBER(I12/B12),I12/B12," - ")</f>
        <v>318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426</v>
      </c>
      <c r="D14" s="1147" t="str">
        <f>IF(ISNUMBER(C14/Datos!BI14),C14/Datos!BI14," - ")</f>
        <v xml:space="preserve"> - </v>
      </c>
      <c r="E14" s="1146">
        <f>SUBTOTAL(9,E8:E13)</f>
        <v>533</v>
      </c>
      <c r="F14" s="1147">
        <f>IF(ISNUMBER(E14/B14),E14/B14," - ")</f>
        <v>533</v>
      </c>
      <c r="G14" s="1146">
        <f>SUBTOTAL(9,G8:G13)</f>
        <v>635</v>
      </c>
      <c r="H14" s="1147">
        <f>IF(ISNUMBER(G14/B14),G14/B14," - ")</f>
        <v>635</v>
      </c>
      <c r="I14" s="1146">
        <f>SUBTOTAL(9,I8:I13)</f>
        <v>324</v>
      </c>
      <c r="J14" s="1147">
        <f>IF(ISNUMBER(I14/B14),I14/B14," - ")</f>
        <v>324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305</v>
      </c>
      <c r="D17" s="452">
        <f>IF(ISNUMBER(C17/Datos!BH17),C17/Datos!BH17," - ")</f>
        <v>305</v>
      </c>
      <c r="E17" s="451">
        <f>IF(ISNUMBER(IF(D_I="SI",Datos!J17,Datos!J17+Datos!AD17)),IF(D_I="SI",Datos!J17,Datos!J17+Datos!AD17)," - ")</f>
        <v>596</v>
      </c>
      <c r="F17" s="452">
        <f>IF(ISNUMBER(E17/B17),E17/B17," - ")</f>
        <v>596</v>
      </c>
      <c r="G17" s="451">
        <f>IF(ISNUMBER(IF(D_I="SI",Datos!K17,Datos!K17+Datos!AE17)),IF(D_I="SI",Datos!K17,Datos!K17+Datos!AE17)," - ")</f>
        <v>581</v>
      </c>
      <c r="H17" s="452">
        <f>IF(ISNUMBER(G17/B17),G17/B17," - ")</f>
        <v>581</v>
      </c>
      <c r="I17" s="451">
        <f>IF(ISNUMBER(IF(D_I="SI",Datos!L17,Datos!L17+Datos!AF17)),IF(D_I="SI",Datos!L17,Datos!L17+Datos!AF17)," - ")</f>
        <v>320</v>
      </c>
      <c r="J17" s="452">
        <f>IF(ISNUMBER(I17/B17),I17/B17," - ")</f>
        <v>320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16</v>
      </c>
      <c r="F18" s="452">
        <f>IF(ISNUMBER(E18/B18),E18/B18," - ")</f>
        <v>16</v>
      </c>
      <c r="G18" s="451">
        <f>IF(ISNUMBER(IF(D_I="SI",Datos!K18,Datos!K18+Datos!AE18)),IF(D_I="SI",Datos!K18,Datos!K18+Datos!AE18)," - ")</f>
        <v>16</v>
      </c>
      <c r="H18" s="452">
        <f>IF(ISNUMBER(G18/B18),G18/B18," - ")</f>
        <v>16</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312</v>
      </c>
      <c r="D23" s="1147" t="str">
        <f>IF(ISNUMBER(C23/Datos!BI23),C23/Datos!BI23," - ")</f>
        <v xml:space="preserve"> - </v>
      </c>
      <c r="E23" s="1146">
        <f>SUBTOTAL(9,E15:E22)</f>
        <v>612</v>
      </c>
      <c r="F23" s="1147">
        <f>IF(ISNUMBER(E23/B23),E23/B23," - ")</f>
        <v>612</v>
      </c>
      <c r="G23" s="1146">
        <f>SUBTOTAL(9,G15:G22)</f>
        <v>597</v>
      </c>
      <c r="H23" s="1147">
        <f>IF(ISNUMBER(G23/B23),G23/B23," - ")</f>
        <v>597</v>
      </c>
      <c r="I23" s="1146">
        <f>SUBTOTAL(9,I15:I22)</f>
        <v>327</v>
      </c>
      <c r="J23" s="1147">
        <f>IF(ISNUMBER(I23/B23),I23/B23," - ")</f>
        <v>327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738</v>
      </c>
      <c r="D31" s="1085" t="str">
        <f>IF(ISNUMBER(C31/Datos!BI31),C31/Datos!BI31," - ")</f>
        <v xml:space="preserve"> - </v>
      </c>
      <c r="E31" s="1084">
        <f>SUBTOTAL(9,E9:E30)</f>
        <v>1145</v>
      </c>
      <c r="F31" s="1085">
        <f>IF(ISNUMBER(E31/B31),E31/B31," - ")</f>
        <v>1145</v>
      </c>
      <c r="G31" s="1084">
        <f>SUBTOTAL(9,G9:G30)</f>
        <v>1232</v>
      </c>
      <c r="H31" s="1085">
        <f>IF(ISNUMBER(G31/B31),G31/B31," - ")</f>
        <v>1232</v>
      </c>
      <c r="I31" s="1084">
        <f>SUBTOTAL(9,I9:I30)</f>
        <v>651</v>
      </c>
      <c r="J31" s="1085">
        <f>IF(ISNUMBER(I31/B31),I31/B31," - ")</f>
        <v>651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4GVz4nd3k+jc1+zfETfAckkRuIDN3XR7IIqE4xO6fE77HGw2IHIdk2EZXmZq5hmxg4ikmDkrAsls+fUHPV1law==" saltValue="mlhMr0mkvETjABXZwY3y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SEPULVEDA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167</v>
      </c>
      <c r="AM12" s="914">
        <f>IF(ISNUMBER(Datos!N12+DatosP!N17),Datos!N12+DatosP!N17," - ")</f>
        <v>185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5.5260663507109005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9.6054888507718691E-2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99</v>
      </c>
      <c r="AE14" s="1257">
        <f t="shared" si="1"/>
        <v>0</v>
      </c>
      <c r="AF14" s="1257">
        <f t="shared" si="1"/>
        <v>6</v>
      </c>
      <c r="AG14" s="1257">
        <f t="shared" si="1"/>
        <v>0</v>
      </c>
      <c r="AH14" s="1257">
        <f t="shared" si="1"/>
        <v>639</v>
      </c>
      <c r="AI14" s="1257">
        <f t="shared" si="1"/>
        <v>0</v>
      </c>
      <c r="AJ14" s="1257">
        <f t="shared" si="1"/>
        <v>0</v>
      </c>
      <c r="AK14" s="1257">
        <f t="shared" si="1"/>
        <v>0</v>
      </c>
      <c r="AL14" s="1257">
        <f t="shared" si="1"/>
        <v>167</v>
      </c>
      <c r="AM14" s="1257">
        <f t="shared" si="1"/>
        <v>185</v>
      </c>
      <c r="AN14" s="1257">
        <f t="shared" si="1"/>
        <v>0</v>
      </c>
      <c r="AO14" s="1257">
        <f t="shared" si="1"/>
        <v>0</v>
      </c>
      <c r="AP14" s="1262">
        <f>IF(ISNUMBER(((Datos!L14/Datos!K14)*11)/factor_trimestre),((Datos!L14/Datos!K14)*11)/factor_trimestre," - ")</f>
        <v>5.7549668874172184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9.6054888507718691E-2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6.025125628140704</v>
      </c>
      <c r="AQ23" s="1262">
        <f>IF(ISNUMBER(((Datos!M23/Datos!L23)*11)/factor_trimestre),((Datos!M23/Datos!L23)*11)/factor_trimestre," - ")</f>
        <v>2.6574923547400613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0.25833333333333336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99</v>
      </c>
      <c r="AE31" s="1284">
        <f t="shared" si="9"/>
        <v>0</v>
      </c>
      <c r="AF31" s="1285">
        <f t="shared" si="9"/>
        <v>6</v>
      </c>
      <c r="AG31" s="1285">
        <f t="shared" si="9"/>
        <v>0</v>
      </c>
      <c r="AH31" s="1285">
        <f t="shared" si="9"/>
        <v>639</v>
      </c>
      <c r="AI31" s="1285">
        <f t="shared" si="9"/>
        <v>0</v>
      </c>
      <c r="AJ31" s="1286">
        <f t="shared" si="9"/>
        <v>0</v>
      </c>
      <c r="AK31" s="1286">
        <f t="shared" si="9"/>
        <v>0</v>
      </c>
      <c r="AL31" s="1278">
        <f t="shared" si="9"/>
        <v>167</v>
      </c>
      <c r="AM31" s="1278">
        <f t="shared" si="9"/>
        <v>185</v>
      </c>
      <c r="AN31" s="1278">
        <f t="shared" si="9"/>
        <v>0</v>
      </c>
      <c r="AO31" s="1278">
        <f t="shared" si="9"/>
        <v>0</v>
      </c>
      <c r="AP31" s="1278">
        <f>IF(ISNUMBER(((Datos!L31/Datos!K31)*11)/factor_trimestre),((Datos!L31/Datos!K31)*11)/factor_trimestre," - ")</f>
        <v>5.8892589508742716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9.5890410958904104E-2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86.238429175551815</v>
      </c>
      <c r="AM33" s="1006"/>
      <c r="AN33" s="1006">
        <f>IF(ISNUMBER(STDEV(AN8:AN30)),STDEV(AN8:AN30),"-")</f>
        <v>0</v>
      </c>
      <c r="AO33" s="1012">
        <f>IF(ISNUMBER(STDEV(AO8:AO30)),STDEV(AO8:AO30),"-")</f>
        <v>0</v>
      </c>
      <c r="AP33" s="1065">
        <f>IF(ISNUMBER(STDEV(AP8:AP30)),STDEV(AP8:AP30),"-")</f>
        <v>13.617167926959414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301aCCResBleIJSNikWlkAWeDrSb0Pjorci4GaNo2gANTcjRkBcyjQFyLC4xnIQX9Ho/mRpJZRLRBg6pybnVQ==" saltValue="ETnLWEWMVUvZ/yqcklMN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SEPULVEDA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ewkip+NuNh/QukYxja2gftBDseG/jTArllgxFWPWeYHJcEDbGVFppYZcHhDgCC8sI6YA5QesKNaGnOtUs6QjQ==" saltValue="BwDf0b/X9B6Wb+e6CmU3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SEPULVEDA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167</v>
      </c>
      <c r="E12" s="452">
        <f t="shared" si="0"/>
        <v>167</v>
      </c>
      <c r="F12" s="451">
        <f>IF(ISNUMBER(Datos!N12),Datos!N12," - ")</f>
        <v>185</v>
      </c>
      <c r="G12" s="452">
        <f t="shared" si="1"/>
        <v>185</v>
      </c>
      <c r="H12" s="451">
        <f>IF(ISNUMBER(Datos!O12),Datos!O12," - ")</f>
        <v>41</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167</v>
      </c>
      <c r="E14" s="1147">
        <f t="shared" si="0"/>
        <v>83.5</v>
      </c>
      <c r="F14" s="1146">
        <f>SUBTOTAL(9,F9:F13)</f>
        <v>185</v>
      </c>
      <c r="G14" s="1147">
        <f t="shared" si="1"/>
        <v>92.5</v>
      </c>
      <c r="H14" s="1146">
        <f>SUBTOTAL(9,H9:H13)</f>
        <v>41</v>
      </c>
      <c r="I14" s="1147">
        <f>IF(ISNUMBER(H14/B14),H14/B14," - ")</f>
        <v>20.5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75</v>
      </c>
      <c r="E17" s="452">
        <f t="shared" si="3"/>
        <v>75</v>
      </c>
      <c r="F17" s="451">
        <f>IF(ISNUMBER(Datos!N17),Datos!N17," - ")</f>
        <v>417</v>
      </c>
      <c r="G17" s="452">
        <f t="shared" si="4"/>
        <v>417</v>
      </c>
      <c r="H17" s="451">
        <f>IF(ISNUMBER(Datos!O17),Datos!O17," - ")</f>
        <v>9</v>
      </c>
      <c r="I17" s="452">
        <f t="shared" si="5"/>
        <v>9</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79</v>
      </c>
      <c r="E23" s="1147">
        <f t="shared" si="3"/>
        <v>39.5</v>
      </c>
      <c r="F23" s="1146">
        <f>SUBTOTAL(9,F16:F22)</f>
        <v>433</v>
      </c>
      <c r="G23" s="1147">
        <f t="shared" si="4"/>
        <v>216.5</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246</v>
      </c>
      <c r="E31" s="1085">
        <f>IF(ISNUMBER(D31/B31),D31/B31," - ")</f>
        <v>246</v>
      </c>
      <c r="F31" s="1084">
        <f>SUBTOTAL(9,F8:F30)</f>
        <v>618</v>
      </c>
      <c r="G31" s="1085">
        <f>IF(ISNUMBER(F31/B31),F31/B31," - ")</f>
        <v>618</v>
      </c>
      <c r="H31" s="1084">
        <f>SUBTOTAL(9,H8:H30)</f>
        <v>50</v>
      </c>
      <c r="I31" s="1085">
        <f>IF(ISNUMBER(H31/B31),H31/B31," - ")</f>
        <v>50</v>
      </c>
    </row>
    <row r="34" spans="1:1">
      <c r="A34" s="439" t="str">
        <f>Criterios!A4</f>
        <v>Fecha Informe: 14 abr. 2023</v>
      </c>
    </row>
    <row r="39" spans="1:1">
      <c r="A39" s="462"/>
    </row>
  </sheetData>
  <sheetProtection algorithmName="SHA-512" hashValue="dr3XiJjweLzSRWzf32WlxO2giRvT1bNO4UdtzeuPagR2E4E6f3OaFe2d8/oleCsoqs05DEbAiEiWKsJrSXByrg==" saltValue="XtI6pkc2KGv+tcpKhyKL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SEPULVEDA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155</v>
      </c>
      <c r="C12" s="489">
        <f>IF(ISNUMBER(Datos!Q12),Datos!Q12," - ")</f>
        <v>99</v>
      </c>
      <c r="D12" s="456">
        <f>IF(ISNUMBER(Datos!R12),Datos!R12," - ")</f>
        <v>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155</v>
      </c>
      <c r="C14" s="1150">
        <f>SUBTOTAL(9,C9:C13)</f>
        <v>99</v>
      </c>
      <c r="D14" s="1148">
        <f>SUBTOTAL(9,D9:D13)</f>
        <v>639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32</v>
      </c>
      <c r="D17" s="456">
        <f>IF(ISNUMBER(Datos!R17),Datos!R17," - ")</f>
        <v>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32</v>
      </c>
      <c r="D23" s="1148">
        <f>SUBTOTAL(9,D16:D22)</f>
        <v>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187</v>
      </c>
      <c r="C31" s="1089">
        <f>SUBTOTAL(9,C8:C30)</f>
        <v>131</v>
      </c>
      <c r="D31" s="1090">
        <f>SUBTOTAL(9,D8:D30)</f>
        <v>640</v>
      </c>
    </row>
    <row r="32" spans="1:4" ht="7.5" customHeight="1"/>
    <row r="33" spans="1:1" ht="6" customHeight="1"/>
    <row r="34" spans="1:1">
      <c r="A34" s="439" t="str">
        <f>Criterios!A4</f>
        <v>Fecha Informe: 14 abr. 2023</v>
      </c>
    </row>
    <row r="39" spans="1:1">
      <c r="A39" s="462"/>
    </row>
  </sheetData>
  <sheetProtection algorithmName="SHA-512" hashValue="dU5WUJdquufuC060nhsHkZ1YLBURsBiO8zMb9wApXgwBF6PFVJCPBOpZuv29rpjq9Y5EPnRLQG/IxDwwgxlzLQ==" saltValue="dK4FctdLD8QeudTaNJ1j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SEPULVEDA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-0.6</v>
      </c>
      <c r="D10" s="515">
        <f>IF(ISNUMBER((Datos!K10-Datos!U10)/Datos!U10),(Datos!K10-Datos!U10)/Datos!U10," - ")</f>
        <v>-0.33333333333333331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0.16666666666666666</v>
      </c>
      <c r="C12" s="515">
        <f>IF(ISNUMBER(
   IF(J_V="SI",(Datos!J12-Datos!T12)/Datos!T12,(Datos!J12+Datos!Z12-(Datos!T12+Datos!AH12))/(Datos!T12+Datos!AH12))
     ),IF(J_V="SI",(Datos!J12-Datos!T12)/Datos!T12,(Datos!J12+Datos!Z12-(Datos!T12+Datos!AH12))/(Datos!T12+Datos!AH12))," - ")</f>
        <v>0.27644230769230771</v>
      </c>
      <c r="D12" s="515">
        <f>IF(ISNUMBER(
   IF(J_V="SI",(Datos!K12-Datos!U12)/Datos!U12,(Datos!K12+Datos!AA12-(Datos!U12+Datos!AI12))/(Datos!U12+Datos!AI12))
     ),IF(J_V="SI",(Datos!K12-Datos!U12)/Datos!U12,(Datos!K12+Datos!AA12-(Datos!U12+Datos!AI12))/(Datos!U12+Datos!AI12))," - ")</f>
        <v>0.7780898876404494</v>
      </c>
      <c r="E12" s="515">
        <f>IF(ISNUMBER(
   IF(J_V="SI",(Datos!L12-Datos!V12)/Datos!V12,(Datos!L12+Datos!AB12-(Datos!V12+Datos!AJ12))/(Datos!V12+Datos!AJ12))
     ),IF(J_V="SI",(Datos!L12-Datos!V12)/Datos!V12,(Datos!L12+Datos!AB12-(Datos!V12+Datos!AJ12))/(Datos!V12+Datos!AJ12))," - ")</f>
        <v>-0.24285714285714285</v>
      </c>
      <c r="F12" s="515">
        <f>IF(ISNUMBER((Datos!M12-Datos!W12)/Datos!W12),(Datos!M12-Datos!W12)/Datos!W12," - ")</f>
        <v>0.12080536912751678</v>
      </c>
      <c r="G12" s="516">
        <f>IF(ISNUMBER((Datos!N12-Datos!X12)/Datos!X12),(Datos!N12-Datos!X12)/Datos!X12," - ")</f>
        <v>3.0217391304347827</v>
      </c>
      <c r="H12" s="514">
        <f>IF(ISNUMBER(((NºAsuntos!G12/NºAsuntos!E12)-Datos!BD12)/Datos!BD12),((NºAsuntos!G12/NºAsuntos!E12)-Datos!BD12)/Datos!BD12," - ")</f>
        <v>0.39300450707801698</v>
      </c>
      <c r="I12" s="515">
        <f>IF(ISNUMBER(((NºAsuntos!I12/NºAsuntos!G12)-Datos!BE12)/Datos!BE12),((NºAsuntos!I12/NºAsuntos!G12)-Datos!BE12)/Datos!BE12," - ")</f>
        <v>-0.574181900248251</v>
      </c>
      <c r="J12" s="521">
        <f>IF(ISNUMBER((('Resol  Asuntos'!D12/NºAsuntos!G12)-Datos!BF12)/Datos!BF12),(('Resol  Asuntos'!D12/NºAsuntos!G12)-Datos!BF12)/Datos!BF12," - ")</f>
        <v>1.0417611099663437</v>
      </c>
      <c r="K12" s="522">
        <f>IF(ISNUMBER((((NºAsuntos!C12+NºAsuntos!E12)/NºAsuntos!G12)-Datos!BG12)/Datos!BG12),(((NºAsuntos!C12+NºAsuntos!E12)/NºAsuntos!G12)-Datos!BG12)/Datos!BG12," - ")</f>
        <v>-0.31076855425807393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0.17032967032967034</v>
      </c>
      <c r="C14" s="1152">
        <f>IF(ISNUMBER(
   IF(J_V="SI",(Datos!J14-Datos!T14)/Datos!T14,(Datos!J14+Datos!Z14-(Datos!T14+Datos!AH14))/(Datos!T14+Datos!AH14))
     ),IF(J_V="SI",(Datos!J14-Datos!T14)/Datos!T14,(Datos!J14+Datos!Z14-(Datos!T14+Datos!AH14))/(Datos!T14+Datos!AH14))," - ")</f>
        <v>0.26603325415676959</v>
      </c>
      <c r="D14" s="1152">
        <f>IF(ISNUMBER(
   IF(J_V="SI",(Datos!K14-Datos!U14)/Datos!U14,(Datos!K14+Datos!AA14-(Datos!U14+Datos!AI14))/(Datos!U14+Datos!AI14))
     ),IF(J_V="SI",(Datos!K14-Datos!U14)/Datos!U14,(Datos!K14+Datos!AA14-(Datos!U14+Datos!AI14))/(Datos!U14+Datos!AI14))," - ")</f>
        <v>0.76880222841225632</v>
      </c>
      <c r="E14" s="1152">
        <f>IF(ISNUMBER(
   IF(J_V="SI",(Datos!L14-Datos!V14)/Datos!V14,(Datos!L14+Datos!AB14-(Datos!V14+Datos!AJ14))/(Datos!V14+Datos!AJ14))
     ),IF(J_V="SI",(Datos!L14-Datos!V14)/Datos!V14,(Datos!L14+Datos!AB14-(Datos!V14+Datos!AJ14))/(Datos!V14+Datos!AJ14))," - ")</f>
        <v>-0.23943661971830985</v>
      </c>
      <c r="F14" s="1153">
        <f>IF(ISNUMBER((Datos!M14-Datos!W14)/Datos!W14),(Datos!M14-Datos!W14)/Datos!W14," - ")</f>
        <v>0.12080536912751678</v>
      </c>
      <c r="G14" s="1154">
        <f>IF(ISNUMBER((Datos!N14-Datos!X14)/Datos!X14),(Datos!N14-Datos!X14)/Datos!X14," - ")</f>
        <v>3.0217391304347827</v>
      </c>
      <c r="H14" s="1154">
        <f>IF(ISNUMBER(((NºAsuntos!G14/NºAsuntos!E14)-Datos!BD14)/Datos!BD14),((NºAsuntos!G14/NºAsuntos!E14)-Datos!BD14)/Datos!BD14," - ")</f>
        <v>0.39712145996540332</v>
      </c>
      <c r="I14" s="1154">
        <f>IF(ISNUMBER(((NºAsuntos!I14/NºAsuntos!G14)-Datos!BE14)/Datos!BE14),((NºAsuntos!I14/NºAsuntos!G14)-Datos!BE14)/Datos!BE14," - ")</f>
        <v>-0.57001219917932788</v>
      </c>
      <c r="J14" s="1154">
        <f>IF(ISNUMBER((('Resol  Asuntos'!D14/NºAsuntos!G14)-Datos!BF14)/Datos!BF14),(('Resol  Asuntos'!D14/NºAsuntos!G14)-Datos!BF14)/Datos!BF14," - ")</f>
        <v>1.0524820267031838</v>
      </c>
      <c r="K14" s="1154">
        <f>IF(ISNUMBER((((NºAsuntos!C14+NºAsuntos!E14)/NºAsuntos!G14)-Datos!BG14)/Datos!BG14),(((NºAsuntos!C14+NºAsuntos!E14)/NºAsuntos!G14)-Datos!BG14)/Datos!BG14," - ")</f>
        <v>-0.30933146095591552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1.1328671328671329</v>
      </c>
      <c r="C17" s="515">
        <f>IF(ISNUMBER(
   IF(D_I="SI",(Datos!J17-Datos!T17)/Datos!T17,(Datos!J17+Datos!AD17-(Datos!T17+Datos!AL17))/(Datos!T17+Datos!AL17))
     ),IF(D_I="SI",(Datos!J17-Datos!T17)/Datos!T17,(Datos!J17+Datos!AD17-(Datos!T17+Datos!AL17))/(Datos!T17+Datos!AL17))," - ")</f>
        <v>0.17322834645669291</v>
      </c>
      <c r="D17" s="515">
        <f>IF(ISNUMBER(
   IF(D_I="SI",(Datos!K17-Datos!U17)/Datos!U17,(Datos!K17+Datos!AE17-(Datos!U17+Datos!AM17))/(Datos!U17+Datos!AM17))
     ),IF(D_I="SI",(Datos!K17-Datos!U17)/Datos!U17,(Datos!K17+Datos!AE17-(Datos!U17+Datos!AM17))/(Datos!U17+Datos!AM17))," - ")</f>
        <v>0.67919075144508667</v>
      </c>
      <c r="E17" s="515">
        <f>IF(ISNUMBER(
   IF(D_I="SI",(Datos!L17-Datos!V17)/Datos!V17,(Datos!L17+Datos!AF17-(Datos!V17+Datos!AN17))/(Datos!V17+Datos!AN17))
     ),IF(D_I="SI",(Datos!L17-Datos!V17)/Datos!V17,(Datos!L17+Datos!AF17-(Datos!V17+Datos!AN17))/(Datos!V17+Datos!AN17))," - ")</f>
        <v>4.9180327868852458E-2</v>
      </c>
      <c r="F17" s="515">
        <f>IF(ISNUMBER((Datos!M17-Datos!W17)/Datos!W17),(Datos!M17-Datos!W17)/Datos!W17," - ")</f>
        <v>0.10294117647058823</v>
      </c>
      <c r="G17" s="516">
        <f>IF(ISNUMBER((Datos!N17-Datos!X17)/Datos!X17),(Datos!N17-Datos!X17)/Datos!X17," - ")</f>
        <v>0.82096069868995636</v>
      </c>
      <c r="H17" s="514">
        <f>IF(ISNUMBER(((NºAsuntos!G17/NºAsuntos!E17)-Datos!BD17)/Datos!BD17),((NºAsuntos!G17/NºAsuntos!E17)-Datos!BD17)/Datos!BD17," - ")</f>
        <v>0.43125654653373152</v>
      </c>
      <c r="I17" s="515">
        <f>IF(ISNUMBER(((NºAsuntos!I17/NºAsuntos!G17)-Datos!BE17)/Datos!BE17),((NºAsuntos!I17/NºAsuntos!G17)-Datos!BE17)/Datos!BE17," - ")</f>
        <v>-0.3751869303913547</v>
      </c>
      <c r="J17" s="521">
        <f>IF(ISNUMBER((('Resol  Asuntos'!D17/NºAsuntos!G17)-Datos!BF17)/Datos!BF17),(('Resol  Asuntos'!D17/NºAsuntos!G17)-Datos!BF17)/Datos!BF17," - ")</f>
        <v>-0.34317100334109546</v>
      </c>
      <c r="K17" s="522">
        <f>IF(ISNUMBER((((NºAsuntos!C17+NºAsuntos!E17)/NºAsuntos!G17)-Datos!BG17)/Datos!BG17),(((NºAsuntos!C17+NºAsuntos!E17)/NºAsuntos!G17)-Datos!BG17)/Datos!BG17," - ")</f>
        <v>-0.17577882299441339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-0.33333333333333331</v>
      </c>
      <c r="G18" s="516">
        <f>IF(ISNUMBER((Datos!N18-Datos!X18)/Datos!X18),(Datos!N18-Datos!X18)/Datos!X18," - ")</f>
        <v>-0.33333333333333331</v>
      </c>
      <c r="H18" s="514">
        <f>IF(ISNUMBER(((NºAsuntos!G18/NºAsuntos!E18)-Datos!BD18)/Datos!BD18),((NºAsuntos!G18/NºAsuntos!E18)-Datos!BD18)/Datos!BD18," - ")</f>
        <v>0</v>
      </c>
      <c r="I18" s="515">
        <f>IF(ISNUMBER(((NºAsuntos!I18/NºAsuntos!G18)-Datos!BE18)/Datos!BE18),((NºAsuntos!I18/NºAsuntos!G18)-Datos!BE18)/Datos!BE18," - ")</f>
        <v>0.49999999999999989</v>
      </c>
      <c r="J18" s="521">
        <f>IF(ISNUMBER((('Resol  Asuntos'!D18/NºAsuntos!G18)-Datos!BF18)/Datos!BF18),(('Resol  Asuntos'!D18/NºAsuntos!G18)-Datos!BF18)/Datos!BF18," - ")</f>
        <v>0</v>
      </c>
      <c r="K18" s="522">
        <f>IF(ISNUMBER((((NºAsuntos!C18+NºAsuntos!E18)/NºAsuntos!G18)-Datos!BG18)/Datos!BG18),(((NºAsuntos!C18+NºAsuntos!E18)/NºAsuntos!G18)-Datos!BG18)/Datos!BG18," - ")</f>
        <v>7.8125000000000056E-2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1.0662251655629138</v>
      </c>
      <c r="C23" s="1152">
        <f>IF(ISNUMBER(
   IF(Criterios!B14="SI",(Datos!J23-Datos!T23)/Datos!T23,(Datos!J23+Datos!AD23-(Datos!T23+Datos!AL23))/(Datos!T23+Datos!AL23))
     ),IF(Criterios!B14="SI",(Datos!J23-Datos!T23)/Datos!T23,(Datos!J23+Datos!AD23-(Datos!T23+Datos!AL23))/(Datos!T23+Datos!AL23))," - ")</f>
        <v>0.15037593984962405</v>
      </c>
      <c r="D23" s="1152">
        <f>IF(ISNUMBER(
   IF(Criterios!B14="SI",(Datos!K23-Datos!U23)/Datos!U23,(Datos!K23+Datos!AE23-(Datos!U23+Datos!AM23))/(Datos!U23+Datos!AM23))
     ),IF(Criterios!B14="SI",(Datos!K23-Datos!U23)/Datos!U23,(Datos!K23+Datos!AE23-(Datos!U23+Datos!AM23))/(Datos!U23+Datos!AM23))," - ")</f>
        <v>0.61351351351351346</v>
      </c>
      <c r="E23" s="1152">
        <f>IF(ISNUMBER(
   IF(Criterios!B14="SI",(Datos!L23-Datos!V23)/Datos!V23,(Datos!L23+Datos!AF23-(Datos!V23+Datos!AN23))/(Datos!V23+Datos!AN23))
     ),IF(Criterios!B14="SI",(Datos!L23-Datos!V23)/Datos!V23,(Datos!L23+Datos!AF23-(Datos!V23+Datos!AN23))/(Datos!V23+Datos!AN23))," - ")</f>
        <v>4.807692307692308E-2</v>
      </c>
      <c r="F23" s="1153">
        <f>IF(ISNUMBER((Datos!M23-Datos!W23)/Datos!W23),(Datos!M23-Datos!W23)/Datos!W23," - ")</f>
        <v>6.7567567567567571E-2</v>
      </c>
      <c r="G23" s="1154">
        <f>IF(ISNUMBER((Datos!N23-Datos!X23)/Datos!X23),(Datos!N23-Datos!X23)/Datos!X23," - ")</f>
        <v>0.71146245059288538</v>
      </c>
      <c r="H23" s="1154">
        <f>IF(ISNUMBER(((NºAsuntos!G23/NºAsuntos!E23)-Datos!BD23)/Datos!BD23),((NºAsuntos!G23/NºAsuntos!E23)-Datos!BD23)/Datos!BD23," - ")</f>
        <v>0.40259671436142025</v>
      </c>
      <c r="I23" s="1154">
        <f>IF(ISNUMBER(((NºAsuntos!I23/NºAsuntos!G23)-Datos!BE23)/Datos!BE23),((NºAsuntos!I23/NºAsuntos!G23)-Datos!BE23)/Datos!BE23," - ")</f>
        <v>-0.35043808787527381</v>
      </c>
      <c r="J23" s="1154">
        <f>IF(ISNUMBER((('Resol  Asuntos'!D23/NºAsuntos!G23)-Datos!BF23)/Datos!BF23),(('Resol  Asuntos'!D23/NºAsuntos!G23)-Datos!BF23)/Datos!BF23," - ")</f>
        <v>-0.3383584589614741</v>
      </c>
      <c r="K23" s="1154">
        <f>IF(ISNUMBER((((NºAsuntos!C23+NºAsuntos!E23)/NºAsuntos!G23)-Datos!BG23)/Datos!BG23),(((NºAsuntos!C23+NºAsuntos!E23)/NºAsuntos!G23)-Datos!BG23)/Datos!BG23," - ")</f>
        <v>-0.16154712066923194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0.4330097087378641</v>
      </c>
      <c r="C31" s="1092">
        <f>IF(ISNUMBER(
   IF(J_V="SI",(Datos!J31-Datos!T31)/Datos!T31,(Datos!J31+Datos!Z31-(Datos!T31+Datos!AH31))/(Datos!T31+Datos!AH31))
     ),IF(J_V="SI",(Datos!J31-Datos!T31)/Datos!T31,(Datos!J31+Datos!Z31-(Datos!T31+Datos!AH31))/(Datos!T31+Datos!AH31))," - ")</f>
        <v>0.20146904512067157</v>
      </c>
      <c r="D31" s="1092">
        <f>IF(ISNUMBER(
   IF(J_V="SI",(Datos!K31-Datos!U31)/Datos!U31,(Datos!K31+Datos!AA31-(Datos!U31+Datos!AI31))/(Datos!U31+Datos!AI31))
     ),IF(J_V="SI",(Datos!K31-Datos!U31)/Datos!U31,(Datos!K31+Datos!AA31-(Datos!U31+Datos!AI31))/(Datos!U31+Datos!AI31))," - ")</f>
        <v>0.68998628257887518</v>
      </c>
      <c r="E31" s="1092">
        <f>IF(ISNUMBER(
   IF(J_V="SI",(Datos!L31-Datos!V31)/Datos!V31,(Datos!L31+Datos!AB31-(Datos!V31+Datos!AJ31))/(Datos!V31+Datos!AJ31))
     ),IF(J_V="SI",(Datos!L31-Datos!V31)/Datos!V31,(Datos!L31+Datos!AB31-(Datos!V31+Datos!AJ31))/(Datos!V31+Datos!AJ31))," - ")</f>
        <v>-0.11788617886178862</v>
      </c>
      <c r="F31" s="1093">
        <f>IF(ISNUMBER((Datos!M31-Datos!W31)/Datos!W31),(Datos!M31-Datos!W31)/Datos!W31," - ")</f>
        <v>0.1031390134529148</v>
      </c>
      <c r="G31" s="1094">
        <f>IF(ISNUMBER((Datos!N31-Datos!X31)/Datos!X31),(Datos!N31-Datos!X31)/Datos!X31," - ")</f>
        <v>1.0668896321070234</v>
      </c>
      <c r="H31" s="1095">
        <f>IF(ISNUMBER((Tasas!B31-Datos!BD31)/Datos!BD31),(Tasas!B31-Datos!BD31)/Datos!BD31," - ")</f>
        <v>0.40659993650451365</v>
      </c>
      <c r="I31" s="1096">
        <f>IF(ISNUMBER((Tasas!C31-Datos!BE31)/Datos!BE31),(Tasas!C31-Datos!BE31)/Datos!BE31," - ")</f>
        <v>-0.47803492239467849</v>
      </c>
      <c r="J31" s="1097">
        <f>IF(ISNUMBER((Tasas!D31-Datos!BF31)/Datos!BF31),(Tasas!D31-Datos!BF31)/Datos!BF31," - ")</f>
        <v>0.21302759740259739</v>
      </c>
      <c r="K31" s="1097">
        <f>IF(ISNUMBER((Tasas!E31-Datos!BG31)/Datos!BG31),(Tasas!E31-Datos!BG31)/Datos!BG31," - ")</f>
        <v>-0.24100120757988611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NiiYQsKp/iaAWi1/IJdVhsCn5R6qxMryamhmdJW7s7L43qz2iijTZTrzpM+hjNKlWOXN8k4e4618X4QN4AARQ==" saltValue="OLifDL65ZD2ytRodUOIw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SEPULVEDA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1.192090395480226</v>
      </c>
      <c r="C12" s="498">
        <f>IF(ISNUMBER(NºAsuntos!I12/NºAsuntos!G12),NºAsuntos!I12/NºAsuntos!G12," - ")</f>
        <v>0.50236966824644547</v>
      </c>
      <c r="D12" s="499">
        <f>IF(ISNUMBER('Resol  Asuntos'!D12/NºAsuntos!G12),'Resol  Asuntos'!D12/NºAsuntos!G12," - ")</f>
        <v>0.26382306477093209</v>
      </c>
      <c r="E12" s="500">
        <f>IF(ISNUMBER((NºAsuntos!C12+NºAsuntos!E12)/NºAsuntos!G12),(NºAsuntos!C12+NºAsuntos!E12)/NºAsuntos!G12," - ")</f>
        <v>1.5023696682464456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1.1913696060037524</v>
      </c>
      <c r="C14" s="1156">
        <f>IF(ISNUMBER(NºAsuntos!I14/NºAsuntos!G14),NºAsuntos!I14/NºAsuntos!G14," - ")</f>
        <v>0.51023622047244099</v>
      </c>
      <c r="D14" s="1157">
        <f>IF(ISNUMBER('Resol  Asuntos'!D14/NºAsuntos!G14),'Resol  Asuntos'!D14/NºAsuntos!G14," - ")</f>
        <v>0.26299212598425198</v>
      </c>
      <c r="E14" s="1158">
        <f>IF(ISNUMBER((NºAsuntos!C14+NºAsuntos!E14)/NºAsuntos!G14),(NºAsuntos!C14+NºAsuntos!E14)/NºAsuntos!G14," - ")</f>
        <v>1.5102362204724409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0.97483221476510062</v>
      </c>
      <c r="C17" s="498">
        <f>IF(ISNUMBER(NºAsuntos!I17/NºAsuntos!G17),NºAsuntos!I17/NºAsuntos!G17," - ")</f>
        <v>0.55077452667814109</v>
      </c>
      <c r="D17" s="499">
        <f>IF(ISNUMBER('Resol  Asuntos'!D17/NºAsuntos!G17),'Resol  Asuntos'!D17/NºAsuntos!G17," - ")</f>
        <v>0.12908777969018934</v>
      </c>
      <c r="E17" s="500">
        <f>IF(ISNUMBER((NºAsuntos!C17+NºAsuntos!E17)/NºAsuntos!G17),(NºAsuntos!C17+NºAsuntos!E17)/NºAsuntos!G17," - ")</f>
        <v>1.5507745266781412</v>
      </c>
      <c r="G17" s="523"/>
    </row>
    <row r="18" spans="1:7">
      <c r="A18" s="450" t="str">
        <f>Datos!A18</f>
        <v>Jdos. Violencia contra la mujer</v>
      </c>
      <c r="B18" s="497">
        <f>IF(ISNUMBER(NºAsuntos!G18/NºAsuntos!E18),NºAsuntos!G18/NºAsuntos!E18," - ")</f>
        <v>1</v>
      </c>
      <c r="C18" s="498">
        <f>IF(ISNUMBER(NºAsuntos!I18/NºAsuntos!G18),NºAsuntos!I18/NºAsuntos!G18," - ")</f>
        <v>0.4375</v>
      </c>
      <c r="D18" s="499">
        <f>IF(ISNUMBER('Resol  Asuntos'!D18/NºAsuntos!G18),'Resol  Asuntos'!D18/NºAsuntos!G18," - ")</f>
        <v>0.25</v>
      </c>
      <c r="E18" s="500">
        <f>IF(ISNUMBER((NºAsuntos!C18+NºAsuntos!E18)/NºAsuntos!G18),(NºAsuntos!C18+NºAsuntos!E18)/NºAsuntos!G18," - ")</f>
        <v>1.4375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0.97549019607843135</v>
      </c>
      <c r="C23" s="1156">
        <f>IF(ISNUMBER(NºAsuntos!I23/NºAsuntos!G23),NºAsuntos!I23/NºAsuntos!G23," - ")</f>
        <v>0.54773869346733672</v>
      </c>
      <c r="D23" s="1159">
        <f>IF(ISNUMBER('Resol  Asuntos'!D23/NºAsuntos!G23),'Resol  Asuntos'!D23/NºAsuntos!G23," - ")</f>
        <v>0.13232830820770519</v>
      </c>
      <c r="E23" s="1158">
        <f>IF(ISNUMBER((NºAsuntos!C23+NºAsuntos!E23)/NºAsuntos!G23),(NºAsuntos!C23+NºAsuntos!E23)/NºAsuntos!G23," - ")</f>
        <v>1.5477386934673367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1.0759825327510917</v>
      </c>
      <c r="C31" s="1099">
        <f>IF(ISNUMBER(NºAsuntos!I31/NºAsuntos!G31),NºAsuntos!I31/NºAsuntos!G31," - ")</f>
        <v>0.52840909090909094</v>
      </c>
      <c r="D31" s="1100">
        <f>IF(ISNUMBER('Resol  Asuntos'!D31/NºAsuntos!G31),'Resol  Asuntos'!D31/NºAsuntos!G31," - ")</f>
        <v>0.19967532467532467</v>
      </c>
      <c r="E31" s="1101">
        <f>IF(ISNUMBER((NºAsuntos!C31+NºAsuntos!E31)/NºAsuntos!G31),(NºAsuntos!C31+NºAsuntos!E31)/NºAsuntos!G31," - ")</f>
        <v>1.5284090909090908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e2Z+SHhsdl1OJcj045bagtgXXypgs7lmKqYSycc+ZGYnUgOZbJvOEgvGTkpQqeC0ttY9BCjI1SS0H/5RHJdPg==" saltValue="nfrJ3YNoDX5g8I9qoj6p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SEPULVEDA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33</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167</v>
      </c>
      <c r="AJ12" s="243" t="str">
        <f>IF(ISNUMBER(Datos!BW12),Datos!BW12," - ")</f>
        <v xml:space="preserve"> - </v>
      </c>
      <c r="AK12" s="242" t="str">
        <f>IF(ISNUMBER(Datos!BX12),Datos!BX12," - ")</f>
        <v xml:space="preserve"> - </v>
      </c>
      <c r="AL12" s="266">
        <f>IF(ISNUMBER(NºAsuntos!G12/NºAsuntos!E12),NºAsuntos!G12/NºAsuntos!E12," - ")</f>
        <v>1.192090395480226</v>
      </c>
      <c r="AM12" s="284">
        <f>IF(ISNUMBER(((NºAsuntos!I12/NºAsuntos!G12)*11)/factor_trimestre),((NºAsuntos!I12/NºAsuntos!G12)*11)/factor_trimestre," - ")</f>
        <v>5.5260663507109005</v>
      </c>
      <c r="AN12" s="267">
        <f>IF(ISNUMBER('Resol  Asuntos'!D12/NºAsuntos!G12),'Resol  Asuntos'!D12/NºAsuntos!G12," - ")</f>
        <v>0.26382306477093209</v>
      </c>
      <c r="AO12" s="268">
        <f>IF(ISNUMBER((NºAsuntos!C12+NºAsuntos!E12)/NºAsuntos!G12),(NºAsuntos!C12+NºAsuntos!E12)/NºAsuntos!G12," - ")</f>
        <v>1.5023696682464456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155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99</v>
      </c>
      <c r="Y14" s="1165">
        <f t="shared" si="6"/>
        <v>101</v>
      </c>
      <c r="Z14" s="1165">
        <f t="shared" si="6"/>
        <v>0</v>
      </c>
      <c r="AA14" s="1165">
        <f t="shared" si="6"/>
        <v>6</v>
      </c>
      <c r="AB14" s="1165">
        <f t="shared" si="6"/>
        <v>639</v>
      </c>
      <c r="AC14" s="1165">
        <f t="shared" si="6"/>
        <v>6</v>
      </c>
      <c r="AD14" s="1165">
        <f t="shared" si="6"/>
        <v>0</v>
      </c>
      <c r="AE14" s="1169">
        <f t="shared" si="6"/>
        <v>0</v>
      </c>
      <c r="AF14" s="1162">
        <f t="shared" si="6"/>
        <v>0</v>
      </c>
      <c r="AG14" s="1170">
        <f t="shared" si="6"/>
        <v>0</v>
      </c>
      <c r="AH14" s="1167">
        <f t="shared" si="6"/>
        <v>0</v>
      </c>
      <c r="AI14" s="1162">
        <f t="shared" si="6"/>
        <v>167</v>
      </c>
      <c r="AJ14" s="1164">
        <f t="shared" si="6"/>
        <v>0</v>
      </c>
      <c r="AK14" s="1167">
        <f>SUBTOTAL(9,AK9:AK13)</f>
        <v>0</v>
      </c>
      <c r="AL14" s="1171">
        <f>IF(ISNUMBER(NºAsuntos!G14/NºAsuntos!E14),NºAsuntos!G14/NºAsuntos!E14," - ")</f>
        <v>1.1913696060037524</v>
      </c>
      <c r="AM14" s="1171">
        <f>IF(ISNUMBER(((NºAsuntos!I14/NºAsuntos!G14)*11)/factor_trimestre),((NºAsuntos!I14/NºAsuntos!G14)*11)/factor_trimestre," - ")</f>
        <v>5.6125984251968513</v>
      </c>
      <c r="AN14" s="1172">
        <f>IF(ISNUMBER('Resol  Asuntos'!D14/NºAsuntos!G14),'Resol  Asuntos'!D14/NºAsuntos!G14," - ")</f>
        <v>0.26299212598425198</v>
      </c>
      <c r="AO14" s="1173">
        <f>IF(ISNUMBER((NºAsuntos!C14+NºAsuntos!E14)/NºAsuntos!G14),(NºAsuntos!C14+NºAsuntos!E14)/NºAsuntos!G14," - ")</f>
        <v>1.5102362204724409</v>
      </c>
      <c r="AP14" s="1174" t="str">
        <f t="shared" si="2"/>
        <v xml:space="preserve"> - </v>
      </c>
      <c r="AQ14" s="1174">
        <f>IF(ISNUMBER((H14-W14+K14)/(F14)),(H14-W14+K14)/(F14)," - ")</f>
        <v>-0.33333333333333331</v>
      </c>
      <c r="AR14" s="1175">
        <f>IF(ISNUMBER((Datos!P14-Datos!Q14)/(Datos!R14-Datos!P14+Datos!Q14)),(Datos!P14-Datos!Q14)/(Datos!R14-Datos!P14+Datos!Q14)," - ")</f>
        <v>9.6054888507718691E-2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305</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581</v>
      </c>
      <c r="X17" s="240">
        <f>IF(ISNUMBER(Datos!Q17),Datos!Q17," - ")</f>
        <v>32</v>
      </c>
      <c r="Y17" s="374">
        <f t="shared" ref="Y17:Y22" si="9">SUM(W17:X17)</f>
        <v>613</v>
      </c>
      <c r="Z17" s="375" t="str">
        <f>IF(ISNUMBER(Datos!CC17),Datos!CC17," - ")</f>
        <v xml:space="preserve"> - </v>
      </c>
      <c r="AA17" s="372">
        <f>IF(ISNUMBER(IF(D_I="SI",Datos!L17,Datos!L17+Datos!AF17)),IF(D_I="SI",Datos!L17,Datos!L17+Datos!AF17)," - ")</f>
        <v>320</v>
      </c>
      <c r="AB17" s="374">
        <f>IF(ISNUMBER(Datos!R17),Datos!R17," - ")</f>
        <v>1</v>
      </c>
      <c r="AC17" s="374">
        <f t="shared" si="8"/>
        <v>321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0.97483221476510062</v>
      </c>
      <c r="AM17" s="284">
        <f>IF(ISNUMBER(((NºAsuntos!I17/NºAsuntos!G17)*11)/factor_trimestre),((NºAsuntos!I17/NºAsuntos!G17)*11)/factor_trimestre," - ")</f>
        <v>6.0585197934595518</v>
      </c>
      <c r="AN17" s="267">
        <f>IF(ISNUMBER('Resol  Asuntos'!D17/NºAsuntos!G17),'Resol  Asuntos'!D17/NºAsuntos!G17," - ")</f>
        <v>0.12908777969018934</v>
      </c>
      <c r="AO17" s="268">
        <f>IF(ISNUMBER((NºAsuntos!C17+NºAsuntos!E17)/NºAsuntos!G17),(NºAsuntos!C17+NºAsuntos!E17)/NºAsuntos!G17," - ")</f>
        <v>1.5507745266781412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4.8125</v>
      </c>
      <c r="AN18" s="267">
        <f>IF(ISNUMBER('Resol  Asuntos'!D18/NºAsuntos!G18),'Resol  Asuntos'!D18/NºAsuntos!G18," - ")</f>
        <v>0.25</v>
      </c>
      <c r="AO18" s="268">
        <f>IF(ISNUMBER((NºAsuntos!C18+NºAsuntos!E18)/NºAsuntos!G18),(NºAsuntos!C18+NºAsuntos!E18)/NºAsuntos!G18," - ")</f>
        <v>1.4375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305</v>
      </c>
      <c r="G23" s="1163">
        <f>SUBTOTAL(9,G16:G22)</f>
        <v>312</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597</v>
      </c>
      <c r="X23" s="1164">
        <f t="shared" si="14"/>
        <v>32</v>
      </c>
      <c r="Y23" s="1165">
        <f t="shared" si="14"/>
        <v>629</v>
      </c>
      <c r="Z23" s="1165">
        <f t="shared" si="14"/>
        <v>0</v>
      </c>
      <c r="AA23" s="1165">
        <f t="shared" si="14"/>
        <v>327</v>
      </c>
      <c r="AB23" s="1165">
        <f t="shared" si="14"/>
        <v>1</v>
      </c>
      <c r="AC23" s="1165">
        <f t="shared" si="14"/>
        <v>328</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0.97549019607843135</v>
      </c>
      <c r="AM23" s="1171">
        <f>IF(ISNUMBER(((NºAsuntos!I23/NºAsuntos!G23)*11)/factor_trimestre),((NºAsuntos!I23/NºAsuntos!G23)*11)/factor_trimestre," - ")</f>
        <v>6.025125628140704</v>
      </c>
      <c r="AN23" s="1172">
        <f>IF(ISNUMBER('Resol  Asuntos'!D23/NºAsuntos!G23),'Resol  Asuntos'!D23/NºAsuntos!G23," - ")</f>
        <v>0.13232830820770519</v>
      </c>
      <c r="AO23" s="1173">
        <f>IF(ISNUMBER((NºAsuntos!C23+NºAsuntos!E23)/NºAsuntos!G23),(NºAsuntos!C23+NºAsuntos!E23)/NºAsuntos!G23," - ")</f>
        <v>1.5477386934673367</v>
      </c>
      <c r="AP23" s="1174" t="str">
        <f t="shared" si="2"/>
        <v xml:space="preserve"> - </v>
      </c>
      <c r="AQ23" s="1174">
        <f>IF(ISNUMBER((H23-W23+K23)/(F23)),(H23-W23+K23)/(F23)," - ")</f>
        <v>-1.957377049180328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311</v>
      </c>
      <c r="G31" s="1118">
        <f t="shared" si="20"/>
        <v>318</v>
      </c>
      <c r="H31" s="1117">
        <f t="shared" si="20"/>
        <v>0</v>
      </c>
      <c r="I31" s="1119">
        <f t="shared" si="20"/>
        <v>0</v>
      </c>
      <c r="J31" s="1119">
        <f t="shared" si="20"/>
        <v>0</v>
      </c>
      <c r="K31" s="1180">
        <f t="shared" si="20"/>
        <v>0</v>
      </c>
      <c r="L31" s="1119">
        <f t="shared" si="20"/>
        <v>187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599</v>
      </c>
      <c r="X31" s="1118">
        <f t="shared" si="21"/>
        <v>131</v>
      </c>
      <c r="Y31" s="1125">
        <f t="shared" si="21"/>
        <v>730</v>
      </c>
      <c r="Z31" s="1125">
        <f t="shared" si="21"/>
        <v>0</v>
      </c>
      <c r="AA31" s="1125">
        <f t="shared" si="21"/>
        <v>333</v>
      </c>
      <c r="AB31" s="1125">
        <f t="shared" si="21"/>
        <v>640</v>
      </c>
      <c r="AC31" s="1125">
        <f t="shared" si="21"/>
        <v>334</v>
      </c>
      <c r="AD31" s="1125">
        <f t="shared" si="21"/>
        <v>0</v>
      </c>
      <c r="AE31" s="1127">
        <f t="shared" si="21"/>
        <v>0</v>
      </c>
      <c r="AF31" s="1128">
        <f t="shared" si="21"/>
        <v>0</v>
      </c>
      <c r="AG31" s="1129">
        <f t="shared" si="21"/>
        <v>0</v>
      </c>
      <c r="AH31" s="1127">
        <f t="shared" si="21"/>
        <v>0</v>
      </c>
      <c r="AI31" s="1117">
        <f t="shared" si="21"/>
        <v>246</v>
      </c>
      <c r="AJ31" s="1117">
        <f t="shared" si="21"/>
        <v>0</v>
      </c>
      <c r="AK31" s="1127">
        <f t="shared" si="21"/>
        <v>0</v>
      </c>
      <c r="AL31" s="1183">
        <f>IF(ISNUMBER(NºAsuntos!G31/NºAsuntos!E31),NºAsuntos!G31/NºAsuntos!E31," - ")</f>
        <v>1.0759825327510917</v>
      </c>
      <c r="AM31" s="1184">
        <f>IF(ISNUMBER(((NºAsuntos!I31/NºAsuntos!G31)*11)/factor_trimestre),((NºAsuntos!I31/NºAsuntos!G31)*11)/factor_trimestre," - ")</f>
        <v>5.8125</v>
      </c>
      <c r="AN31" s="1184">
        <f>IF(ISNUMBER('Resol  Asuntos'!D31/NºAsuntos!G31),'Resol  Asuntos'!D31/NºAsuntos!G31," - ")</f>
        <v>0.19967532467532467</v>
      </c>
      <c r="AO31" s="1185">
        <f>IF(ISNUMBER((NºAsuntos!C31+NºAsuntos!E31)/NºAsuntos!G31),(NºAsuntos!C31+NºAsuntos!E31)/NºAsuntos!G31," - ")</f>
        <v>1.5284090909090908</v>
      </c>
      <c r="AP31" s="1186" t="str">
        <f t="shared" si="2"/>
        <v xml:space="preserve"> - </v>
      </c>
      <c r="AQ31" s="1187">
        <f>IF(OR(ISNUMBER(FIND("01",Criterios!A8,1)),ISNUMBER(FIND("02",Criterios!A8,1)),ISNUMBER(FIND("03",Criterios!A8,1)),ISNUMBER(FIND("04",Criterios!A8,1))),(I31-W31+K31)/(F31-K31),(H31-W31+K31)/(F31-K31))</f>
        <v>-1.9260450160771705</v>
      </c>
      <c r="AR31" s="1188">
        <f>IF(ISNUMBER((Datos!P31-Datos!Q31)/(Datos!R31-Datos!P31+Datos!Q31)),(Datos!P31-Datos!Q31)/(Datos!R31-Datos!P31+Datos!Q31)," - ")</f>
        <v>9.5890410958904104E-2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155.97521170579211</v>
      </c>
      <c r="G33" s="277">
        <f>IF(ISNUMBER(STDEV(G8:G30)),STDEV(G8:G30),"-")</f>
        <v>148.71945464691629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285.54184081696826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73.096804698583483</v>
      </c>
      <c r="AJ33" s="276">
        <f t="shared" si="25"/>
        <v>0</v>
      </c>
      <c r="AK33" s="278">
        <f t="shared" si="25"/>
        <v>0</v>
      </c>
      <c r="AL33" s="273">
        <f t="shared" si="25"/>
        <v>0.10600636230260534</v>
      </c>
      <c r="AM33" s="274">
        <f t="shared" si="25"/>
        <v>11.192246884279276</v>
      </c>
      <c r="AN33" s="274">
        <f t="shared" si="25"/>
        <v>0.1056294206406207</v>
      </c>
      <c r="AO33" s="275">
        <f t="shared" si="25"/>
        <v>1.017476989479934</v>
      </c>
      <c r="AP33" s="317" t="str">
        <f t="shared" si="25"/>
        <v>-</v>
      </c>
      <c r="AQ33" s="318">
        <f t="shared" si="25"/>
        <v>1.1483723244188082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dKoC8xMBaTsxGfcgxMazrL/xjbD+TVIIYqkdQiMfuxCnXHFMuYDXPgr/30pmtPSnZPfPk2Fbls2uZjxXNJhvA==" saltValue="Sfhn/1xKWlKepREo8iWG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SEPULVEDA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-0.6</v>
      </c>
      <c r="F10" s="393">
        <f>IF(ISNUMBER((Datos!K10-Datos!U10)/Datos!U10),(Datos!K10-Datos!U10)/Datos!U10," - ")</f>
        <v>-0.33333333333333331</v>
      </c>
      <c r="G10" s="394">
        <f>IF(ISNUMBER((Datos!L10-Datos!V10)/Datos!V10),(Datos!L10-Datos!V10)/Datos!V10," - ")</f>
        <v>0</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0.12080536912751678</v>
      </c>
      <c r="I12" s="395">
        <f>IF(ISNUMBER((Tasas!C12-Datos!BE12)/Datos!BE12),(Tasas!C12-Datos!BE12)/Datos!BE12," - ")</f>
        <v>-0.574181900248251</v>
      </c>
      <c r="J12" s="394">
        <f>IF(ISNUMBER((Tasas!D12-Datos!BF12)/Datos!BF12),(Tasas!D12-Datos!BF12)/Datos!BF12," - ")</f>
        <v>1.0417611099663437</v>
      </c>
      <c r="K12" s="396">
        <f>IF(ISNUMBER((Tasas!E12-Datos!BG12)/Datos!BG12),(Tasas!E12-Datos!BG12)/Datos!BG12," - ")</f>
        <v>-0.31076855425807393</v>
      </c>
      <c r="M12" t="e">
        <f>IF(Monitorios="SI",Datos!CE12,0)</f>
        <v>#REF!</v>
      </c>
      <c r="N12" t="e">
        <f>IF(Monitorios="SI",Datos!CF12,0)</f>
        <v>#REF!</v>
      </c>
      <c r="O12" t="e">
        <f>IF(Monitorios="SI",Datos!CG12,0)</f>
        <v>#REF!</v>
      </c>
      <c r="P12" t="e">
        <f>IF(Monitorios="SI",Datos!CH12,0)</f>
        <v>#REF!</v>
      </c>
      <c r="Q12">
        <f>IF(J_V="SI",0,Datos!AG12)</f>
        <v>15</v>
      </c>
      <c r="R12">
        <f>IF(J_V="SI",0,Datos!AH12)</f>
        <v>15</v>
      </c>
      <c r="S12">
        <f>IF(J_V="SI",0,Datos!AI12)</f>
        <v>18</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0.12080536912751678</v>
      </c>
      <c r="I14" s="402">
        <f>IF(ISNUMBER((Tasas!C14-Datos!BE14)/Datos!BE14),(Tasas!C14-Datos!BE14)/Datos!BE14," - ")</f>
        <v>-0.57001219917932788</v>
      </c>
      <c r="J14" s="400">
        <f>IF(ISNUMBER((Tasas!D14-Datos!BF14)/Datos!BF14),(Tasas!D14-Datos!BF14)/Datos!BF14," - ")</f>
        <v>1.0524820267031838</v>
      </c>
      <c r="K14" s="403">
        <f>IF(ISNUMBER((Tasas!E14-Datos!BG14)/Datos!BG14),(Tasas!E14-Datos!BG14)/Datos!BG14," - ")</f>
        <v>-0.30933146095591552</v>
      </c>
      <c r="M14" t="e">
        <f>IF(Monitorios="SI",Datos!CE14,0)</f>
        <v>#REF!</v>
      </c>
      <c r="N14" t="e">
        <f>IF(Monitorios="SI",Datos!CF14,0)</f>
        <v>#REF!</v>
      </c>
      <c r="O14" t="e">
        <f>IF(Monitorios="SI",Datos!CG14,0)</f>
        <v>#REF!</v>
      </c>
      <c r="P14" t="e">
        <f>IF(Monitorios="SI",Datos!CH14,0)</f>
        <v>#REF!</v>
      </c>
      <c r="Q14">
        <f>IF(J_V="SI",0,Datos!AG14)</f>
        <v>15</v>
      </c>
      <c r="R14">
        <f>IF(J_V="SI",0,Datos!AH14)</f>
        <v>15</v>
      </c>
      <c r="S14">
        <f>IF(J_V="SI",0,Datos!AI14)</f>
        <v>18</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1.1328671328671329</v>
      </c>
      <c r="E17" s="393">
        <f>IF(ISNUMBER(
   IF(D_I="SI",(Datos!J17-Datos!T17)/Datos!T17,(Datos!J17+Datos!AD17-(Datos!T17+Datos!AL17))/(Datos!T17+Datos!AL17))
     ),IF(D_I="SI",(Datos!J17-Datos!T17)/Datos!T17,(Datos!J17+Datos!AD17-(Datos!T17+Datos!AL17))/(Datos!T17+Datos!AL17))," - ")</f>
        <v>0.17322834645669291</v>
      </c>
      <c r="F17" s="393">
        <f>IF(ISNUMBER(
   IF(D_I="SI",(Datos!K17-Datos!U17)/Datos!U17,(Datos!K17+Datos!AE17-(Datos!U17+Datos!AM17))/(Datos!U17+Datos!AM17))
     ),IF(D_I="SI",(Datos!K17-Datos!U17)/Datos!U17,(Datos!K17+Datos!AE17-(Datos!U17+Datos!AM17))/(Datos!U17+Datos!AM17))," - ")</f>
        <v>0.67919075144508667</v>
      </c>
      <c r="G17" s="394">
        <f>IF(ISNUMBER(
   IF(D_I="SI",(Datos!L17-Datos!V17)/Datos!V17,(Datos!L17+Datos!AF17-(Datos!V17+Datos!AN17))/(Datos!V17+Datos!AN17))
     ),IF(D_I="SI",(Datos!L17-Datos!V17)/Datos!V17,(Datos!L17+Datos!AF17-(Datos!V17+Datos!AN17))/(Datos!V17+Datos!AN17))," - ")</f>
        <v>4.9180327868852458E-2</v>
      </c>
      <c r="H17" s="244">
        <f>IF(ISNUMBER((Datos!M17-Datos!W17)/Datos!W17),(Datos!M17-Datos!W17)/Datos!W17," - ")</f>
        <v>0.10294117647058823</v>
      </c>
      <c r="I17" s="395">
        <f>IF(ISNUMBER((Tasas!C17-Datos!BE17)/Datos!BE17),(Tasas!C17-Datos!BE17)/Datos!BE17," - ")</f>
        <v>-0.3751869303913547</v>
      </c>
      <c r="J17" s="394">
        <f>IF(ISNUMBER((Tasas!D17-Datos!BF17)/Datos!BF17),(Tasas!D17-Datos!BF17)/Datos!BF17," - ")</f>
        <v>-0.34317100334109546</v>
      </c>
      <c r="K17" s="396">
        <f>IF(ISNUMBER((Tasas!E17-Datos!BG17)/Datos!BG17),(Tasas!E17-Datos!BG17)/Datos!BG17," - ")</f>
        <v>-0.17577882299441339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-0.33333333333333331</v>
      </c>
      <c r="I18" s="395">
        <f>IF(ISNUMBER((Tasas!C18-Datos!BE18)/Datos!BE18),(Tasas!C18-Datos!BE18)/Datos!BE18," - ")</f>
        <v>0.49999999999999989</v>
      </c>
      <c r="J18" s="394">
        <f>IF(ISNUMBER((Tasas!D18-Datos!BF18)/Datos!BF18),(Tasas!D18-Datos!BF18)/Datos!BF18," - ")</f>
        <v>0</v>
      </c>
      <c r="K18" s="396">
        <f>IF(ISNUMBER((Tasas!E18-Datos!BG18)/Datos!BG18),(Tasas!E18-Datos!BG18)/Datos!BG18," - ")</f>
        <v>7.8125000000000056E-2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1.0662251655629138</v>
      </c>
      <c r="E23" s="399">
        <f>IF(ISNUMBER(
   IF(D_I="SI",(Datos!J23-Datos!T23)/Datos!T23,(Datos!J23+Datos!AD23-(Datos!T23+Datos!AL23))/(Datos!T23+Datos!AL23))
     ),IF(D_I="SI",(Datos!J23-Datos!T23)/Datos!T23,(Datos!J23+Datos!AD23-(Datos!T23+Datos!AL23))/(Datos!T23+Datos!AL23))," - ")</f>
        <v>0.15037593984962405</v>
      </c>
      <c r="F23" s="399">
        <f>IF(ISNUMBER(
   IF(D_I="SI",(Datos!K23-Datos!U23)/Datos!U23,(Datos!K23+Datos!AE23-(Datos!U23+Datos!AM23))/(Datos!U23+Datos!AM23))
     ),IF(D_I="SI",(Datos!K23-Datos!U23)/Datos!U23,(Datos!K23+Datos!AE23-(Datos!U23+Datos!AM23))/(Datos!U23+Datos!AM23))," - ")</f>
        <v>0.61351351351351346</v>
      </c>
      <c r="G23" s="400">
        <f>IF(ISNUMBER(
   IF(D_I="SI",(Datos!L23-Datos!V23)/Datos!V23,(Datos!L23+Datos!AF23-(Datos!V23+Datos!AN23))/(Datos!V23+Datos!AN23))
     ),IF(D_I="SI",(Datos!L23-Datos!V23)/Datos!V23,(Datos!L23+Datos!AF23-(Datos!V23+Datos!AN23))/(Datos!V23+Datos!AN23))," - ")</f>
        <v>4.807692307692308E-2</v>
      </c>
      <c r="H23" s="401">
        <f>IF(ISNUMBER((Datos!M23-Datos!W23)/Datos!W23),(Datos!M23-Datos!W23)/Datos!W23," - ")</f>
        <v>6.7567567567567571E-2</v>
      </c>
      <c r="I23" s="402">
        <f>IF(ISNUMBER((Tasas!C23-Datos!BE23)/Datos!BE23),(Tasas!C23-Datos!BE23)/Datos!BE23," - ")</f>
        <v>-0.35043808787527381</v>
      </c>
      <c r="J23" s="400">
        <f>IF(ISNUMBER((Tasas!D23-Datos!BF23)/Datos!BF23),(Tasas!D23-Datos!BF23)/Datos!BF23," - ")</f>
        <v>-0.3383584589614741</v>
      </c>
      <c r="K23" s="403">
        <f>IF(ISNUMBER((Tasas!E23-Datos!BG23)/Datos!BG23),(Tasas!E23-Datos!BG23)/Datos!BG23," - ")</f>
        <v>-0.16154712066923194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0.4330097087378641</v>
      </c>
      <c r="E31" s="409">
        <f>IF(ISNUMBER(
   IF(J_V="SI",(Datos!J31-Datos!T31)/Datos!T31,(Datos!J31+Datos!Z31-(Datos!T31+Datos!AH31))/(Datos!T31+Datos!AH31))
     ),IF(J_V="SI",(Datos!J31-Datos!T31)/Datos!T31,(Datos!J31+Datos!Z31-(Datos!T31+Datos!AH31))/(Datos!T31+Datos!AH31))," - ")</f>
        <v>0.20146904512067157</v>
      </c>
      <c r="F31" s="409">
        <f>IF(ISNUMBER(
   IF(J_V="SI",(Datos!K31-Datos!U31)/Datos!U31,(Datos!K31+Datos!AA31-(Datos!U31+Datos!AI31))/(Datos!U31+Datos!AI31))
     ),IF(J_V="SI",(Datos!K31-Datos!U31)/Datos!U31,(Datos!K31+Datos!AA31-(Datos!U31+Datos!AI31))/(Datos!U31+Datos!AI31))," - ")</f>
        <v>0.68998628257887518</v>
      </c>
      <c r="G31" s="410">
        <f>IF(ISNUMBER(
   IF(J_V="SI",(Datos!L31-Datos!V31)/Datos!V31,(Datos!L31+Datos!AB31-(Datos!V31+Datos!AJ31))/(Datos!V31+Datos!AJ31))
     ),IF(J_V="SI",(Datos!L31-Datos!V31)/Datos!V31,(Datos!L31+Datos!AB31-(Datos!V31+Datos!AJ31))/(Datos!V31+Datos!AJ31))," - ")</f>
        <v>-0.11788617886178862</v>
      </c>
      <c r="H31" s="411">
        <f>IF(ISNUMBER((Datos!M31-Datos!W31)/Datos!W31),(Datos!M31-Datos!W31)/Datos!W31," - ")</f>
        <v>0.1031390134529148</v>
      </c>
      <c r="I31" s="408">
        <f>IF(ISNUMBER((Tasas!C31-Datos!BE31)/Datos!BE31),(Tasas!C31-Datos!BE31)/Datos!BE31," - ")</f>
        <v>-0.47803492239467849</v>
      </c>
      <c r="J31" s="409">
        <f>IF(ISNUMBER((Tasas!D31-Datos!BF31)/Datos!BF31),(Tasas!D31-Datos!BF31)/Datos!BF31," - ")</f>
        <v>0.21302759740259739</v>
      </c>
      <c r="K31" s="410">
        <f>IF(ISNUMBER((Tasas!E31-Datos!BG31)/Datos!BG31),(Tasas!E31-Datos!BG31)/Datos!BG31," - ")</f>
        <v>-0.24100120757988611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0.58576481463725161</v>
      </c>
      <c r="E33" s="303">
        <f t="shared" si="1"/>
        <v>0.37894138364474023</v>
      </c>
      <c r="F33" s="303">
        <f t="shared" si="1"/>
        <v>0.56625682092011831</v>
      </c>
      <c r="G33" s="304">
        <f t="shared" si="1"/>
        <v>2.8079363516349008E-2</v>
      </c>
      <c r="H33" s="310">
        <f t="shared" si="1"/>
        <v>0.1963541418443624</v>
      </c>
      <c r="I33" s="302">
        <f t="shared" si="1"/>
        <v>0.50834502031036422</v>
      </c>
      <c r="J33" s="303">
        <f t="shared" si="1"/>
        <v>0.71170313788611839</v>
      </c>
      <c r="K33" s="304">
        <f t="shared" si="1"/>
        <v>0.25171143501039406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JkwReQPlu+lUu/61ckbQRbEGfpbZIDkjcSdBglMJI0hWGkZE4ttm6FqUMb31Ov8nTOTwO9Sss/w5O0ZIaVcrQ==" saltValue="M/SAl+TLwB7hOiO6Uaixy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